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<sst xmlns="http://schemas.openxmlformats.org/spreadsheetml/2006/main" count="65570" uniqueCount="9898">
  <si>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</si>
  <si>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</si>
  <si>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</si>
  <si>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</si>
  <si>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</si>
  <si>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</si>
  <si>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</si>
  <si>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</si>
  <si>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</si>
  <si>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</si>
  <si>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</si>
  <si>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</si>
  <si>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</si>
  <si>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</si>
  <si>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</si>
  <si>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</si>
  <si>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</si>
  <si>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</si>
  <si>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</si>
  <si>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</si>
  <si>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</si>
  <si>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</si>
  <si>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</si>
  <si>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</si>
  <si>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</si>
  <si>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</si>
  <si>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</si>
  <si>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</si>
  <si>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</si>
  <si>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</si>
  <si>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</si>
  <si>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</si>
  <si>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</si>
  <si>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</si>
  <si>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</si>
  <si>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</si>
  <si>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</si>
  <si>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</si>
  <si>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</si>
  <si>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</si>
  <si>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</si>
  <si>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</si>
  <si>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</si>
  <si>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</si>
  <si>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</si>
  <si>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</si>
  <si>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</si>
  <si>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</si>
  <si>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</si>
  <si>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</si>
  <si>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</si>
  <si>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</si>
  <si>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</si>
  <si>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</si>
  <si>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</si>
  <si>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</si>
  <si>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</si>
  <si>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</si>
  <si>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</si>
  <si>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</si>
  <si>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</si>
  <si>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</si>
  <si>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</si>
  <si>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</si>
  <si>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</si>
  <si>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</si>
  <si>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</si>
  <si>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</si>
  <si>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</si>
  <si>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</si>
  <si>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</si>
  <si>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</si>
  <si>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</si>
  <si>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Rosenberg, AZ; Mendez-Ruette, M; Gorziglia, M; Alzerreca, B; Cabello, J; Kaufmann, S; Rambousek, L; Jofre, AI; Wyneken, U; Lafourcade, CA</t>
  </si>
  <si>
    <t/>
  </si>
  <si>
    <t>Zirotti Rosenberg, Antonella; Mendez-Ruette, Maxs; Gorziglia, Mario; Alzerreca, Benjamin; Cabello, Javiera; Kaufmann, Sofia; Rambousek, Lukas; Iturriaga Jofre, Andres; Wyneken, Ursula; Lafourcade, Carlos A.</t>
  </si>
  <si>
    <t>Behavioral and Molecular Responses to Exogenous Cannabinoids During Pentylenetetrazol-Induced Convulsions in Male and Female Rats</t>
  </si>
  <si>
    <t>FRONTIERS IN MOLECULAR NEUROSCIENCE</t>
  </si>
  <si>
    <t>Epilepsy is a disabling, chronic brain disease,affecting similar to 1% of the World's population, characterized by recurrent seizures (sudden, uncontrolled brain activity), which may manifest with motor symptoms (e.g., convulsions) or non-motor symptoms. Temporal lobe epilepsies (TLE) compromising the hippocampus are the most common form of focal epilepsies. Resistance in similar to 1/3 of epileptic patients to the first line of treatment, i.e., antiepileptic drugs (AEDs), has been an important motivation to seek alternative treatments. Among these, the plant Cannabis sativa (commonly known as marihuana) or compounds extracted from it (cannabinoids) have gained widespread popularity. Moreover, sex differences have been proposed in epilepsy syndromes and in cannabinoid action. In the hippocampus, cannabinoids interact with the CB1R receptor whose membrane levels are regulated by beta-Arrestin2, a protein that promotes its endocytosis and causes its downregulation. In this article, we evaluate the modulatory role of WIN 55,212-2 (WIN), a synthetic exogenous cannabinoid on behavioral convulsions and on the levels of CB1R and beta-Arrestin2 in female and male adolescent rats after a single injection of the proconvulsant pentylenetetrazol (PTZ). As epilepsies can have a considerable impact on synaptic proteins that regulate neuronal toxicity, plasticity, and cognition, we also measured the levels of key proteins markers of excitatory synapses, in order to examine whether exogenous cannabinoids may prevent such pathologic changes after acute seizures. We found that the exogenous administration of WIN prevented convulsions of medium severity in females and males and increased the levels of phosphorylated CaMKII in the hippocampus. Furthermore, we observed a higher degree of colocalization between CB1R and beta-Arrestin2 in the granule cell layer.</t>
  </si>
  <si>
    <t>Wyneken, Ursula/AEF-2609-2022; Rambousek, Lukas/F-8571-2012</t>
  </si>
  <si>
    <t>Iturriaga Jofre, Andres/0000-0001-5245-6016; Rambousek, Lukas/0000-0002-8325-8693; Lafourcade, Carlos/0000-0002-6728-1009</t>
  </si>
  <si>
    <t>1662-5099</t>
  </si>
  <si>
    <t>AUG 9</t>
  </si>
  <si>
    <t>10.3389/fnmol.2022.868583</t>
  </si>
  <si>
    <t>WOS:000860119800001</t>
  </si>
  <si>
    <t>Ezzatvar, Y; Izquierdo, M; Núñez, J; Calatayud, J; Ramírez-Vélez, R; García-Hermoso, A</t>
  </si>
  <si>
    <t>Ezzatvar, Yasmin; Izquierdo, Mikel; Nunez, Julio; Calatayud, Joaquin; Ramirez-Velez, Robinson; Garcia-Hermoso, Antonio</t>
  </si>
  <si>
    <t>Cardiorespiratory fitness measured with cardiopulmonary exercise testing and mortality in patients with cardiovascular disease: A systematic review and meta-analysis</t>
  </si>
  <si>
    <t>JOURNAL OF SPORT AND HEALTH SCIENCE</t>
  </si>
  <si>
    <t>Background: Cardiorespiratory fitness (CRF) is inversely associated with mortality in apparently healthy subjects and in some clinical populations, but evidence for the association between CRF and all-cause and/or cardiovascular disease (CVD) mortality in patients with established CVD is lacking. This study aimed to quantify this association. Methods: We searched for prospective cohort studies that measured CRF with cardiopulmonary exercise testing in patients with CVD and that examined all-cause and CVD mortality with at least 6 months of follow-up. Pooled hazard ratios (HRs) were calculated using random-effect inverse-variance analyses. Results: Data were obtained from 21 studies and included 159,352 patients diagnosed with CVD (38.1% female). Pooled HRs for all-cause and CVD mortality comparing the highest vs. lowest category of CRF were 0.42 (95% confidence interval (95%CI): 0.28-0.61) and 0.27 (95%CI: 0.16-0.48), respectively. Pooled HRs per 1 metabolic equivalent (1-MET) increment were significant for all-cause mortality (HR = 0.81; 95%CI: 0.74-0.88) but not for CVD mortality (HR = 0.75; 95%CI: 0.48-1.18). Coronary artery disease patients with high CRF had a lower risk of all-cause mortality (HR = 0.32; 95%CI: 0.26-0.41) than did their unfit counterparts. Each 1-MET increase was associated with lower all-cause mortality risk among coronary artery disease patients (HR = 0.83; 95%CI: 0.76-0.91) but not lower among those with heart failure (HR = 0.69; 95%CI: 0.36-1.32). Conclusion: A better CRF was associated with lower risk of all-cause mortality and CVD. This study supports the use of CRF as a powerful predictor of mortality in this population.</t>
  </si>
  <si>
    <t>García-Hermoso, Antonio/ADU-2591-2022; Nuñez, Julio/AAA-6105-2019; Ezzatvar, Yasmin/ABC-9574-2020; Calatayud, Joaquin/HPF-6570-2023; Ramirez-Velez, Robinson/D-5311-2016; Calatayud, Joaquin/H-8692-2018; Izquierdo, Mikel/A-4894-2010; Garcia-Hermoso, Antonio/P-1857-2017</t>
  </si>
  <si>
    <t>Ramirez-Velez, Robinson/0000-0003-3075-6960; Ezzatvar, Yasmin/0000-0002-9691-5998; Calatayud, Joaquin/0000-0002-8670-8346; Izquierdo, Mikel/0000-0002-1506-4272; Garcia-Hermoso, Antonio/0000-0002-1397-7182</t>
  </si>
  <si>
    <t>2095-2546</t>
  </si>
  <si>
    <t>2213-2961</t>
  </si>
  <si>
    <t>DEC</t>
  </si>
  <si>
    <t>10.1016/j.jshs.2021.06.004</t>
  </si>
  <si>
    <t>DEC 2021</t>
  </si>
  <si>
    <t>WOS:000734460600002</t>
  </si>
  <si>
    <t>Guajardo, FG; Velásquez, VB; Raby, D; Núñez-Vivanco, G; Iturriaga-Vásquez, P; España, RA; Reyes-Parada, M; Sotomayor-Zárate, R</t>
  </si>
  <si>
    <t>Guajardo, Fabrizzio G.; Velasquez, Victoria B.; Raby, Daniela; Nunez-Vivanco, Gabriel; Iturriaga-Vasquez, Patricio; Espana, Rodrigo A.; Reyes-Parada, Miguel; Sotomayor-Zarate, Ramon</t>
  </si>
  <si>
    <t>Pharmacological Characterization of 4-Methylthioamphetamine Derivatives</t>
  </si>
  <si>
    <t>MOLECULES</t>
  </si>
  <si>
    <t>Amphetamine derivatives have been used in a wide variety of pathologies because of their pharmacological properties as psychostimulants, entactogens, anorectics, and antidepressants. However, adverse cardiovascular effects (sympathomimetics) and substance abuse problems (psychotropic and hallucinogenic effects) have limited their use. 4-Methylthioamphetamine (MTA) is an amphetamine derivative that has shown to inhibit monoamine uptake and monoamine oxidase. However, the pharmacological characterization (neurochemical, behavioral, and safety) of its derivatives 4-ethylthioamphetamine (ETA) and 4-methylthio-phenil-2-butanamine (MT-But) have not been studied. In the current experiments, we show that ETA and MT-But do not increase locomotor activity and conditioned place preference with respect to MTA. At the neurochemical level, ETA and MT-But do not increase in vivo DA release in striatum, but ETA and MT-But affect the nucleus accumbens bioaccumulation of DA and DOPAC. Regarding cardiovascular effects, the administration of MTA and ETA increased the mean arterial pressure and only ETA significantly increases the heart rate. Our results show that the pharmacological and safety profiles of MTA are modulated by changing the methyl-thio group or the methyl group of the aminoethyl chain.</t>
  </si>
  <si>
    <t>Nuñez, Gabriel/IAN-2843-2023</t>
  </si>
  <si>
    <t>Nunez Vivanco, Gabriel/0000-0002-2858-1789; Velasquez Pineda, Victoria Belen/0009-0007-2710-6357; Sotomayor-Zarate, Ramon/0000-0002-1239-5367; Iturriaga-Vasquez, Patricio/0000-0003-0553-1014</t>
  </si>
  <si>
    <t>1420-3049</t>
  </si>
  <si>
    <t>NOV</t>
  </si>
  <si>
    <t>10.3390/molecules25225310</t>
  </si>
  <si>
    <t>WOS:000594715400001</t>
  </si>
  <si>
    <t>Chandra, Y; Scarpa, F; Adhikari, S; Zhang, J; Flores, EIS; Peng, HX</t>
  </si>
  <si>
    <t>Chandra, Y.; Scarpa, F.; Adhikari, S.; Zhang, J.; Saavedra Flores, E. I.; Peng, Hua-Xin</t>
  </si>
  <si>
    <t>Pullout strength of graphene and carbon nanotube/epoxy composites</t>
  </si>
  <si>
    <t>COMPOSITES PART B-ENGINEERING</t>
  </si>
  <si>
    <t>An atomistic multiscale modelling approach is used to simulate the nonlinear pullout behaviour of interlinked single walled carbon nano tubes (SWCNT) and single layer graphene sheets (SLGS) embedded in an epoxy polymer. The pullout forces have been computed for various configurations of nano composites (SWCNT-SWCNT, SLGS-SLGS and hybrid SLGS-SWCNT), also by evaluating the effect provided by three different interlink compounds. The interfacial strength due to fibre pullout predicted by the hybrid atomistic-FE model is compared against experimental and molecular dynamics results available in open literature. The results show the specific deformation characteristics (localised auxetics) that provide an increase of pullout forces and interfacial strength with the use of the links. (C) 2016 Elsevier Ltd. All rights reserved.</t>
  </si>
  <si>
    <t>Flores, Erick/I-7646-2012; Peng, Hua-Xin/C-2762-2011; Adhikari, Sondipon/A-9642-2009; Scarpa, Fabrizio/B-9465-2008</t>
  </si>
  <si>
    <t>Adhikari, Sondipon/0000-0003-4181-3457; Scarpa, Fabrizio/0000-0002-5470-4834; Chandra, Yatish/0000-0002-3126-1276; PENG, Hua-Xin/0000-0003-1059-671X</t>
  </si>
  <si>
    <t>1359-8368</t>
  </si>
  <si>
    <t>1879-1069</t>
  </si>
  <si>
    <t>OCT 1</t>
  </si>
  <si>
    <t>10.1016/j.compositesb.2016.06.070</t>
  </si>
  <si>
    <t>WOS:000383006600001</t>
  </si>
  <si>
    <t>Grez, P; Herrera, F; Riveros, G; Henríquez, R; Ramírez, A; Muñoz, E; Dalchiele, EA; Celedón, C; Schrebler, R</t>
  </si>
  <si>
    <t>Grez, P.; Herrera, F.; Riveros, G.; Henriquez, R.; Ramirez, A.; Munoz, E.; Dalchiele, E. A.; Celedon, C.; Schrebler, R.</t>
  </si>
  <si>
    <t>Synthesis and characterization of p-Cu2O nanowires arrays</t>
  </si>
  <si>
    <t>MATERIALS LETTERS</t>
  </si>
  <si>
    <t>In this work we studied the synthesis and morphological, structural and electrochemistry characterization of p-Cu2O nanowires, formed into pores of polycarbonate template (100 nm). The better wetting of the pores of the membrane was achieved when this was prepared under a head of 40 cm in height of the electrolyte solution (0.02 M Cu (OOCCH3)(2)+ 0.1 M NaOOCCH3, pH 5.79), for a period of 18 h. Nanowires obtained by electrolysis in the same solution showed a diameter of 226 nm and a length of 4.5 mu m, with an aspect ratio of 20. The structural analysis showed that the nanowires growth was polycrystalline with three planes preferential [(111), (200) and (220)]. From electrochemical and photoelectrochemical characterization it was determined that the nanostructures synthesized by this route, had a p-type semiconductor character and on the other hand, a good behavior as photocathode in front of the I-3(-)/I- couple. (C) 2012 Elsevier B.V. All rights reserved.</t>
  </si>
  <si>
    <t>Ramírez, Andres/JPL-2918-2023; Muñoz, Eduardo/V-4600-2019; Henríquez, Rodrigo/E-2155-2014</t>
  </si>
  <si>
    <t>Ramirez Ramirez, Andres/0000-0001-8786-7149; Celedon, Carlos/0000-0003-0604-0751; Herrera, Francisco/0000-0001-7783-2970; Henriquez, Rodrigo/0000-0002-2612-5413; Schrebler, Ricardo/0000-0002-8358-6742</t>
  </si>
  <si>
    <t>0167-577X</t>
  </si>
  <si>
    <t>1873-4979</t>
  </si>
  <si>
    <t>FEB 1</t>
  </si>
  <si>
    <t>10.1016/j.matlet.2012.11.012</t>
  </si>
  <si>
    <t>WOS:000316033500112</t>
  </si>
  <si>
    <t>Hernandez-Martinez, J; Cid-Calfucura, I; Herrera-Valenzuela, T; Fritz-Silva, N; Mello, JB; Perez-Carcamo, J; Vásquez-Carrasco, E; Merellano-Navarro, E; Branco, BHM; Valdés-Badilla, P</t>
  </si>
  <si>
    <t>Hernandez-Martinez, Jordan; Cid-Calfucura, Izham; Herrera-Valenzuela, Tomas; Fritz-Silva, Nicole; Mello, Julio B.; Perez-Carcamo, Joaquin; Vasquez-Carrasco, Edgard; Merellano-Navarro, Eugenio; Branco, Braulio Henrique Magnani; Valdes-Badilla, Pablo</t>
  </si>
  <si>
    <t>Xbox Kinect Sports vs. Nintendo Switch Sports and Their Effects on Body Composition and Physical Performance in Older Females: A Randomized Controlled Trial</t>
  </si>
  <si>
    <t>JOURNAL OF CLINICAL MEDICINE</t>
  </si>
  <si>
    <t>Background/Objectives: This study aimed to compare the effects of Xbox Kinect Sports (XKS) regarding Nintendo Switch Sports (NSS) and an inactive control group (CG) on body composition (body fat percentage, BFP; and fat-free mass) and physical performance (maximal isometric handgrip strength, MIHS; 30-s chair stand, 30-S; timed up-and-go, TUG; sit-and-reach; and 2-min step) in physically inactive older females. Methods: A randomized controlled trial study was conducted with three parallel groups: XKS (n = 13), NSS (n = 14), and CG (n = 16) considering three weekly 60-min sessions for 12 weeks with pre- and post-assessments. Results: A two-factor mixed analysis of variance (ANOVA) model with repeated measures was performed to measure the time x group effect. Multiple comparisons revealed significant differences in BFP (F-(2,F-18) = 6.12; p = 0.005; eta p(2) = 0.226, large effect), 30-S (F-(2,F-18) = 20.7; p = 0.000; eta p(2) = 0.496, large effect), TUG (F-(2,F-18) = 10.0; p = 0.000; eta p(2) = 0.323, large effect), sit-and-reach (F-(2,F-18) = 37.3; p = 0.000; eta p(2) = 0.640, large effect), and 2-min step (F-(2,F-18) = 9.85; p = 0.000; eta p(2) = 0.319, large effect) in favor of XKS regarding NSS and CG. The intragroup results only present in XKS a significant decrease in BFP (p = 0.02; d = 0.98) and significant improvements in the 30-S (p = 0.000; d = 1.88), TUG (p &lt; 0.01; d = 2.00), sit-and-reach (p = 0.003; d = 2.58), and 2-min step (p = 0.004; d = 1.05). Conclusions: training using XKS significantly decreases BFP and improves 30-S, TUG, sit-and-reach, and 2-min step in physically inactive older females.</t>
  </si>
  <si>
    <t>Herrera-Valenzuela, Tomas/L-1819-2019; Mello, Júlio/O-2112-2017; Branco, Braulio/AAA-1747-2019; Hernandez-Martinez, Jordan/AAK-5115-2020; FRITZ SILVA, NICOLE/ABK-5808-2022; Magnani Branco, Braulio Henrique/B-8178-2017</t>
  </si>
  <si>
    <t>Herrera-Valenzuela, Tomas/0000-0002-5219-5896; FRITZ SILVA, NICOLE/0000-0001-5248-7189; Merellano-Navarro, Eugenio/0000-0002-1557-2285; Vasquez Carrasco, Edgar Maximiliano/0000-0002-5359-6587; Brugnara Mello, Julio/0000-0002-3013-1760; Valdes-Badilla, Pablo/0000-0002-3948-8280; Magnani Branco, Braulio Henrique/0000-0002-4625-9128; Cid, Izham/0000-0002-2172-867X</t>
  </si>
  <si>
    <t>2077-0383</t>
  </si>
  <si>
    <t>SEP</t>
  </si>
  <si>
    <t>10.3390/jcm13174987</t>
  </si>
  <si>
    <t>WOS:001311105100001</t>
  </si>
  <si>
    <t>Cerda, A; Rivera, M; Armijo, G; Ibarra-Henriquez, C; Reyes, J; Blázquez-Sánchez, P; Avilés, J; Arce, A; Seguel, A; Brown, AJ; Vásquez, Y; Cortez-San Martín, M; Cubillos, FA; García, P; Ferres, M; Ramírez-Sarmiento, CA; Federici, F; Gutiérrez, RA</t>
  </si>
  <si>
    <t>Cerda, Ariel; Rivera, Maira; Armijo, Grace; Ibarra-Henriquez, Catalina; Reyes, Javiera; Blazquez-Sanchez, Paula; Aviles, Javiera; Arce, Anibal; Seguel, Aldo; Brown, Alexander J.; Vasquez, Yesseny; Cortez-San Martin, Marcelo; Cubillos, Francisco A.; Garcia, Patricia; Ferres, Marcela; Ramirez-Sarmiento, Cesar A.; Federici, Fernan; Gutierrez, Rodrigo A.</t>
  </si>
  <si>
    <t>An Open One-Step RT-qPCR for SARS-CoV-2 detection</t>
  </si>
  <si>
    <t>PLOS ONE</t>
  </si>
  <si>
    <t>The COVID-19 pandemic has resulted in millions of deaths globally, and while several diagnostic systems were proposed, real-time reverse transcription polymerase chain reaction (RT-PCR) remains the gold standard. However, diagnostic reagents, including enzymes used in RT-PCR, are subject to centralized production models and intellectual property restrictions, which present a challenge for less developed countries. With the aim of generating a standardized One-Step open RT-qPCR protocol to detect SARS-CoV-2 RNA in clinical samples, we purified and tested recombinant enzymes and a non-proprietary buffer. The protocol utilized M-MLV RT and Taq DNA pol enzymes to perform a Taqman probe-based assay. Synthetic RNA samples were used to validate the One-Step RT-qPCR components, demonstrating sensitivity comparable to a commercial kit routinely employed in clinical settings for patient diagnosis. Further evaluation on 40 clinical samples (20 positive and 20 negative) confirmed its comparable diagnostic accuracy. This study represents a proof of concept for an open approach to developing diagnostic kits for viral infections and diseases, which could provide a cost-effective and accessible solution for less developed countries.</t>
  </si>
  <si>
    <t>Ramírez-Sarmiento, César/AEY-6653-2022; Cubillos, Francisco/MIT-2389-2025; Álvarez-Gutiérrez, Rodrigo/Y-5977-2018; Seguel, Aldo/HTL-3920-2023; Ferres, Marcela/LFU-5739-2024; Rivera, Maira/MTC-6621-2025; Cubillos, Francisco/G-5195-2019</t>
  </si>
  <si>
    <t>Brown, Alex/0000-0002-9638-7400; Rivera, Maira/0000-0002-2771-9248; Blazquez-Sanchez, Paula/0000-0003-3232-909X; Ferres, Marcela/0000-0001-9415-4657; Armijo, Grace/0009-0009-9021-3213; Cubillos, Francisco/0000-0003-3022-469X</t>
  </si>
  <si>
    <t>1932-6203</t>
  </si>
  <si>
    <t>JAN 25</t>
  </si>
  <si>
    <t>e0297081</t>
  </si>
  <si>
    <t>10.1371/journal.pone.0297081</t>
  </si>
  <si>
    <t>WOS:001158471300068</t>
  </si>
  <si>
    <t>Ojeda-Aravena, A; Herrera-Valenzuela, T; Valdés-Badilla, P; Baez-San Martín, E; Zapata-Bastías, J; Aedo-Muñoz, E; García-García, JM</t>
  </si>
  <si>
    <t>Ojeda-Aravena, Alex; Herrera-Valenzuela, Tomas; Valdes-Badilla, Pablo; Baez-San Martin, Eduardo; Zapata-Bastias, Jose; Aedo-Munoz, Esteban; Manuel Garcia-Garcia, Jose</t>
  </si>
  <si>
    <t>Interrelationship between specific high-intensity intermittent efforts ability with aerobic capacity and slow stretch-shortening cycle utilization in taekwondo athletes</t>
  </si>
  <si>
    <t>ISOKINETICS AND EXERCISE SCIENCE</t>
  </si>
  <si>
    <t>BACKGROUND: In taekwondo the ability to repeat high-intensity efforts is characteristic of the sport. The Frequency speed of kick test (FSKT) is frequently used to assess this ability, although its influence on aerobic capacity and dynamic strength characteristics has received less attention in the literature. OBJECTIVE: To examine the relationship between specific high-intensity intermittent efforts with aerobic capacity and slow stretch-shortening cycle utilization in taekwondo athletes. METHODS: Nineteen taekwondo male athletes were assessed by squat jump (SJ), countermovement jump (CMJ), 20-meter shuttle run (20MSR), and frequency speed of kick test multiple (FSKTMULT). From the FSKTMULT, total kicks and kick decrement index [KDI] were calculated. Additionally, from both jump tests, the slow stretch-shortening cycle utilization (Slow SSC Utilization) was determined from the eccentric utilization ratio [EUR], pre-stretch augmentation [PSA], and reactive strength index [RSI]. RESULTS: There were positive and significant correlations between total kicks with 20MSR (r = 0.85; p = 0.00) and SJ (r = 0.66; p &lt; 0.05). The multiple regression model demonstrated that total kicks where significantly influenced by 20MSR (R-2 = 71%; p = 0.00). Additionally, only EUR and RSI explained total kicks performance to a greater proportion (R-2 = 76%). CONCLUSIONS: The FSKT(MULT )total kicks performance is positively correlated and influenced by aerobic capacity and slow SSC utilization.</t>
  </si>
  <si>
    <t>Báez, Eduardo/GWU-7673-2022; Herrera-Valenzuela, Tomas/L-1819-2019; Aedo-Muñoz, Esteban/R-5623-2019; Ojeda Aravena, Alex/JRF-5369-2023; Garcia-Garcia, Jose/P-9163-2019</t>
  </si>
  <si>
    <t>Ojeda-Aravena, Alex/0000-0002-2406-9622; Baez San Martin, Eduardo/0000-0002-3881-1015</t>
  </si>
  <si>
    <t>0959-3020</t>
  </si>
  <si>
    <t>1878-5913</t>
  </si>
  <si>
    <t>10.3233/IES-210210</t>
  </si>
  <si>
    <t>WOS:000836117900007</t>
  </si>
  <si>
    <t>Yañez, O; Báez-Grez, R; Inostroza, D; Pino-Rios, R; Rabanal-León, WA; Contreras-García, J; Cardenas, C; Tiznado, W</t>
  </si>
  <si>
    <t>Yanez, Osvaldo; Baez-Grez, Rodrigo; Inostroza, Diego; Pino-Rios, Ricardo; Rabanal-Leon, Walter A.; Contreras-Garcia, Julia; Cardenas, Carlos; Tiznado, William</t>
  </si>
  <si>
    <t>Kick-Fukui: A Fukui Function-Guided Method for Molecular Structure Prediction</t>
  </si>
  <si>
    <t>JOURNAL OF CHEMICAL INFORMATION AND MODELING</t>
  </si>
  <si>
    <t>Here, we introduce a hybrid method, named Kick-Fukui, to explore the potential energy surface (PES) of clusters and molecules using the Coulombic integral between the Fukui functions in the first screening of the best individuals. In the process, small stable molecules or clusters whose combination has the stoichiometry of the explored species are used as assembly units. First, a small set of candidates has been selected from a large and stochastically generated (Kick) population according to the maximum value of the Coulombic integral between the Fukui functions of both fragments. Subsequently, these few candidates are optimized using a gradient method and density functional theory (DFT) calculations. The performance of the program has been evaluated to explore the PES of various systems, including atomic and molecular clusters. In most cases studied, the global minimum (GM) has been identified with a low computational cost. The strategy does not allow to identify the GM of some silicon clusters; however, it predicts local minima very close in energy to the GM that could be used as the initial population of evolutionary algorithms.</t>
  </si>
  <si>
    <t>Inostroza, Diego/AAI-5261-2020; Cárdenas, Carlos/IZP-8908-2023; Báez-Grez, Rodrigo/AAM-4876-2021; CONTRERAS-GARCIA, JULIA/A-2482-2012; Cardenas, Carlos/F-1946-2010; Tiznado, William/G-7479-2014</t>
  </si>
  <si>
    <t>Rabanal-Leon, Walter A./0000-0002-2012-7194; Cardenas, Carlos/0000-0002-0648-6502; Yanez Osses, Osvaldo Andres/0000-0001-8993-9353; Inostroza Mendoza, Diego Estevan/0000-0002-0160-0337; Baez-Grez, Rodrigo/0000-0001-9303-1559; Pino Rios, Ricardo/0000-0003-4756-1115; Tiznado, William/0000-0002-6061-8879</t>
  </si>
  <si>
    <t>1549-9596</t>
  </si>
  <si>
    <t>1549-960X</t>
  </si>
  <si>
    <t>AUG 23</t>
  </si>
  <si>
    <t>10.1021/acs.jcim.1c00605</t>
  </si>
  <si>
    <t>AUG 2021</t>
  </si>
  <si>
    <t>WOS:000688241800021</t>
  </si>
  <si>
    <t>López-Gil, JF; Brazo-Sayavera, J; García-Hermoso, A; de Camargo, EM; Lucas, JLY</t>
  </si>
  <si>
    <t>Lopez-Gil, Jose Francisco; Brazo-Sayavera, Javier; Garcia-Hermoso, Antonio; de Camargo, Edina Maria; Yuste Lucas, Juan Luis</t>
  </si>
  <si>
    <t>Clustering Patterns of Physical Fitness, Physical Activity, Sedentary, and Dietary Behavior among School Children</t>
  </si>
  <si>
    <t>CHILDHOOD OBESITY</t>
  </si>
  <si>
    <t>Background:Some healthy lifestyle behaviors may have a greater impact on childhood obesity in combination, compared to the independent effects of those behaviors in an isolated manner. The present study aimed to identify the different healthy lifestyle patterns of children according to their physical fitness, physical activity (PA) patterns, screen time, and adherence to the Mediterranean Diet, as well as to examine the association between anthropometric indicators and the membership to a certain cluster. Methods:A final sample of 353 Spanish school children (45.9% females) from the Region of Murcia (Spain) was included in this study (aged 6-13). First, we conducted a hierarchical cluster analysis using Ward's method; based on squared Euclidean distances. Second, we used the k-means cluster analysis to get the final cluster solution. Results:Three different clusters were established: Cluster 1 [high cardiorespiratory fitness (CRF), PA, and Mediterranean Diet], Cluster 2 (low CRF, PA, and Mediterranean Diet + high muscular strength), and Cluster 3 (low physical fitness and PA). Cluster 3 had negative values in all the health-related variables analyzed. Regarding the anthropometric parameters analyzed (BMI, tri-ponderal mass index, waist-to-height ratio, and body fat percentage), Cluster 3 presented the highest values in all anthropometric parameters than the other two clusters (p &lt; 0.001), while Cluster 1 showed the lowest values. Conclusions:The study has identified three clusters respect to health-related variables with the higher prevalence in the cluster established as the unhealthiest lifestyle. Also, cluster classification is associated to obesity indicators such as BMI, tri-ponderal mass index, waist-to-height ratio, and body fat percentage.</t>
  </si>
  <si>
    <t>García-Hermoso, Antonio/ADU-2591-2022; Camargo, Edina/ABO-1021-2022; López-Gil, José Francisco/AAN-5618-2020; Garcia-Hermoso, Antonio/P-1857-2017</t>
  </si>
  <si>
    <t>de Camargo, Edina Maria/0000-0003-2127-2606; Garcia-Hermoso, Antonio/0000-0002-1397-7182; Lopez-Gil, Jose Francisco/0000-0002-7412-7624</t>
  </si>
  <si>
    <t>2153-2168</t>
  </si>
  <si>
    <t>2153-2176</t>
  </si>
  <si>
    <t>DEC 1</t>
  </si>
  <si>
    <t>10.1089/chi.2020.0185</t>
  </si>
  <si>
    <t>OCT 2020</t>
  </si>
  <si>
    <t>WOS:000581545200001</t>
  </si>
  <si>
    <t>Muñoz-Becerra, K; Hermosilla-Ibáñez, P; Le Fur, E; Cador, O; Paredes-García, V; Spodine, E; Venegas-Yazigi, D</t>
  </si>
  <si>
    <t>Munoz-Becerra, Karina; Hermosilla-Ibanez, Patricio; Le Fur, Eric; Cador, Olivier; Paredes-Garcia, Veronica; Spodine, Evgenia; Venegas-Yazigi, Diego</t>
  </si>
  <si>
    <t>First Non-Centrosymmetric Deca-Vanadoborate with Borate Vacancies, Self-Assembled around a 1,3-Propanediammonium Cation</t>
  </si>
  <si>
    <t>CRYSTAL GROWTH &amp; DESIGN</t>
  </si>
  <si>
    <t>The first borate-vacant deca-vanadoborate of formula (NH3CH2CH2CH2NH3)(5) [ (NH3CH2CH2CH2NH3)V10B24O66H8]center dot 13.23H(2)O with an occluded 1;3-propanediammonium cation; using molten methylboronic acid flux reaction is reported. This cluster lacks four borate units with respect to all known deca-vanadoborates. It crystallizes in the orthorhombic P2(1)2(1)2 space group which is non-centrosymmetric, leading to the first non-centrosymmetric deca-vanadoborate reported In the literature. Even though the decavanadoborates formed by 28 borate units have an inner space large enough to host a molecule, no examples have been reported before. The electronic properties were studied using electronic spectroscopy, corroborating a fully reduced species, due to the lack Of intervalence charge transfer transitions in the 1000 to 1500 nm region. The magnetic behavior provided evidence that the studied cluster presents strong antiferromagnetism among the ten V-IV spin-carriers, with an S = 0 ground state. tiring a model considering three different exchange pathways, three different J values were obtained, all of them antiferromagnetic in nature.</t>
  </si>
  <si>
    <t>Muñoz-Becerra, Karina/GPP-1386-2022; Paredes-Garcia, Veronica/C-4415-2011; Venegas-Yazigi, Diego/C-5022-2009; Hermosilla-Ibanez, Patricio/Y-7454-2018</t>
  </si>
  <si>
    <t>Venegas-Yazigi, Diego/0000-0001-7816-2841; Munoz-Becerra, Karina/0000-0001-9882-6342; Hermosilla-Ibanez, Patricio/0000-0002-2272-9690; Cador, Olivier/0000-0003-2064-6223</t>
  </si>
  <si>
    <t>1528-7483</t>
  </si>
  <si>
    <t>1528-7505</t>
  </si>
  <si>
    <t>JUN</t>
  </si>
  <si>
    <t>10.1021/acs.cgd.5b00102</t>
  </si>
  <si>
    <t>WOS:000355890400002</t>
  </si>
  <si>
    <t>Tapia, A; Gangi, LM; Zegers-Hochschild, F; Balmaceda, J; Pommer, R; Trejo, L; Pacheco, IM; Salvatierra, AM; Henríquez, S; Quezada, M; Vargas, M; Ríos, M; Munroe, DJ; Croxatto, HB; Velasquez, L</t>
  </si>
  <si>
    <t>Tapia, Alejandro; Gangi, Lisa M.; Zegers-Hochschild, Fernando; Balmaceda, Jose; Pommer, Ricardo; Trejo, Leon; Margarita Pacheco, Isabel; Maria Salvatierra, Ana; Henriquez, Soledad; Quezada, Marisol; Vargas, Macarena; Rios, Miguel; Munroe, David J.; Croxatto, Horacio B.; Velasquez, Luis</t>
  </si>
  <si>
    <t>Differences in the endometrial transcript profile during the receptive period between women who were refractory to implantation and those who achieved pregnancy</t>
  </si>
  <si>
    <t>HUMAN REPRODUCTION</t>
  </si>
  <si>
    <t>Background: Gene expression profiling of normal receptive endometrium has been characterized, but intrinsic defects in endometrial gene expression associated with implantation failure have not been reported. Methods: Women who had previously participated as recipients in oocyte donation cycles and repeatedly exhibited implantation failure (Group A, study group) or had at least one successful cycle (Group B, control group) and spontaneously fertile women (Group C, normal fertility group) were recruited. All were treated with exogenous estradiol and progesterone to induce an endometrial cycle, and an endometrial biopsy was taken on the seventh day of progesterone administration. RNA from each sample was analysed by cDNA microarrays to identify differentially expressed genes between groups. Results: 63 transcripts were differentially expressed (&gt;= 2-fold) between Groups A and B, of which 16 were subjected to real time RT-PCR. Eleven of these were significantly decreased in Group A with regard to Groups B and C. Among the dysregulated genes were MMP-7, CXCR4, PAEP and C4BPA. Conclusions: Repeated implantation failure in some oocyte recipients is associated with an intrinsic defect in the expression of multiple genes in their endometrium. Significantly decreased levels of several transcripts in endometria without manifest abnormalities is demonstrated for the first time and shown to be associated with implantation failure.</t>
  </si>
  <si>
    <t>Zegers-Hochschild, Fernando/KDA-6102-2024; Tapia-Pizarro, Alejandro/IUQ-1738-2023</t>
  </si>
  <si>
    <t>Velasquez, Luis/0000-0002-9479-1792; Henriquez, Soledad/0000-0003-3507-6534</t>
  </si>
  <si>
    <t>0268-1161</t>
  </si>
  <si>
    <t>1460-2350</t>
  </si>
  <si>
    <t>FEB</t>
  </si>
  <si>
    <t>10.1093/humrep/dem319</t>
  </si>
  <si>
    <t>WOS:000252544300017</t>
  </si>
  <si>
    <t>Yañez, O; Cabrera, R; Pino-Rios, R; Sepúlveda, C; López-Cortés, XA; González-Nilo, FD; Ravanal, MC</t>
  </si>
  <si>
    <t>Yanez, Osvaldo; Cabrera, Ricardo; Pino-Rios, Ricardo; Sepulveda, Carolina; Lopez-Cortes, Xaviera A.; Gonzalez-Nilo, Fernando D.; Ravanal, Maria Cristina</t>
  </si>
  <si>
    <t>Metal-catalyzed decarboxylation of oxaloacetic acid studied in silico and in vitro, implications for enzymatic and prebiotic catalysis</t>
  </si>
  <si>
    <t>JOURNAL OF MOLECULAR STRUCTURE</t>
  </si>
  <si>
    <t>During the decarboxylation of oxaloacetic acid (OAA), an alpha-keto acid that participates in the central metabolic pathways of all organisms, its fourth carbon is released in the form of CO2 through a metal-catalyzed reaction. In the context of prebiotic chemistry, it is generally accepted that metalloenzymes catalyse reactions that could have originally occurred abiotically mediated by metals. In this study, we investigate the effect of various divalent cations (Ni2+, Co2+, Mn2+ and Mg2+) on the non-enzymatic decarboxylation rate of oxaloacetic acid (OAA) using both in silico quantum mechanical calculations and in vitro experimental analysis. Our experimental findings demonstrate that for the rate of OAA decarboxylation, the cations followed the order Ni2+ &gt; Co2+ &gt; Mg2+ &gt; Mn2+. Theoretical results, utilizing the enolpyruvate metal complex as the final stage of the reaction, showed that the Ni2+ complex had the lowest decarboxylation energy and negative Gibbs free energy compared to other complexes. Additionally, it exhibited a lower HOMO-LUMO gap, indicating its potential to aid in the decarboxylation reaction. Given that decarboxylases in current metabolism primarily employ Mg2+ and Mn2+ but not Ni2+, we consider how the cation that performs better in the abiotic reaction was not selected as the catalytic centre of the enzyme-based reaction in current biochemistry.</t>
  </si>
  <si>
    <t>Cabrera, Ricardo/H-8132-2014; lopez, xaviera/R-1027-2019; Ravanal, Maria/G-8682-2018; Gonzalez Nilo, Fernando Danilo/M-5671-2016</t>
  </si>
  <si>
    <t>Gonzalez Nilo, Fernando Danilo/0000-0001-6857-3575; Cabrera, Ricardo/0000-0002-8896-3172; lopez cortes, xaviera/0000-0002-7514-8777; Ravanal, Maria Cristina/0000-0003-2462-6270; Yanez Osses, Osvaldo Andres/0000-0001-8993-9353</t>
  </si>
  <si>
    <t>0022-2860</t>
  </si>
  <si>
    <t>1872-8014</t>
  </si>
  <si>
    <t>APR 5</t>
  </si>
  <si>
    <t>10.1016/j.molstruc.2024.141105</t>
  </si>
  <si>
    <t>DEC 2024</t>
  </si>
  <si>
    <t>WOS:001396729400001</t>
  </si>
  <si>
    <t>Gallegos, JA; Aguila-Camacho, N; Duarte-Mermoud, MA; Travieso-Torres, JC; Ceballos-Benavides, GE</t>
  </si>
  <si>
    <t>Gallegos, Javier A.; Aguila-Camacho, Norelys; Duarte-Mermoud, Manuel A.; Travieso-Torres, Juan C.; Ceballos-Benavides, Gustavo E.</t>
  </si>
  <si>
    <t>Switched systems with changing derivation order: Stability and applications</t>
  </si>
  <si>
    <t>JOURNAL OF THE FRANKLIN INSTITUTE-ENGINEERING AND APPLIED MATHEMATICS</t>
  </si>
  <si>
    <t>This paper deals with systems that can switch their structure, including the differentiation order. It is shown that there are several non-equivalent cases for them, which all coincide when the derivation order is not switched but fixed at 1. For each of these cases, (asymptotic) stability results are obtained in this paper. This is accomplished by generalizing Common Lyapunov Functions (CLF) and Multiple Lyapunov Functions (MLF) methods, the latter when applied to fractional switching systems (FSS) in the resetting. Several examples are presented to illustrate that such Lyapunov functions exist for linear and nonlinear switched order systems. It is shown that the resetting fractional switching can be easily J.A. Gallegos, N. Aguila-Camacho, M.A. Duarte-Mermoud et al. Journal of the Franklin Institute 358 (2021) 3943-3963 implemented by standard software. Finally, applications in adaptive integer-order problems are made by exploiting features of both fractional and integer-order systems. (c) 2021 The Franklin Institute. Published by Elsevier Ltd. All rights reserved.</t>
  </si>
  <si>
    <t>Ceballos, Gustavo/JAX-9864-2023; Duarte-Mermoud, Manuel/I-2693-2013; Aguila-Camacho, Norelys/J-4449-2015; Travieso Torres, Juan carlos/N-6437-2019</t>
  </si>
  <si>
    <t>Aguila-Camacho, Norelys/0000-0002-4514-0037; Travieso Torres, Juan carlos/0000-0002-9246-4827; Ceballos, Gustavo/0000-0002-5707-2967</t>
  </si>
  <si>
    <t>0016-0032</t>
  </si>
  <si>
    <t>1879-2693</t>
  </si>
  <si>
    <t>MAY</t>
  </si>
  <si>
    <t>10.1016/j.jfranklin.2021.02.033</t>
  </si>
  <si>
    <t>APR 2021</t>
  </si>
  <si>
    <t>WOS:000678374900013</t>
  </si>
  <si>
    <t>Ramírez-Vélez, R; González-Ruíz, K; González-Jiménez, E; Schmidt-RioValle, J; Correa-Rodríguez, M; García-Hermoso, A; Palomino-Echeverría, S; Izquierdo, M</t>
  </si>
  <si>
    <t>Ramirez-Velez, Robinson; Gonzalez-Ruiz, Katherine; Gonzalez-Jimenez, Emilio; Schmidt-RioValle, Jacqueline; Correa-Rodriguez, Maria; Garcia-Hermoso, Antonio; Palomino-Echeverria, Sara; Izquierdo, Mikel</t>
  </si>
  <si>
    <t>Serum leptin as a mediator of the influence of insulin resistance on hepatic steatosis in youths with excess adiposity</t>
  </si>
  <si>
    <t>NUTRITION METABOLISM AND CARDIOVASCULAR DISEASES</t>
  </si>
  <si>
    <t>Background and aims: The relationship between insulin resistance (IR) and hepatic steatosis (fatty liver) is well known; however, the extent to which the satiety hormone leptin acts as a confounder or mediator in this relationship is uncertain. We examined whether the association between IR and hepatic steatosis is mediated by leptin in Colombian adolescents with excess adiposity. Methods and results: A total of 122 adolescents (mean age: 13.4 years; 68% girls) participated in the study. We assessed body composition, hepatic steatosis (as defined by the controlled attenuation parameter [CAP]), cardiometabolic risk factors (body mass index, waist circumference, body composition), biochemical variables (leptin, insulin, glucose, lipid profile, cardiometabolic Z-score, transaminases, etc.), and physical fitness (cardiorespiratory fitness and grip strength). Partial correlation, regression, and mediation analyses were conducted using the Barron and Kenny framework. Results: Ninety-two youths (75.4%) had IR. Mediation analysis revealed a positive relationship between Homeostasis Model Assessment-IR (HOMA-IR) and CAP (beta(dir) = 3.414, 95% confidence interval [CI]: 1.012 to 5.816, p &lt; 0.001), which was attenuated when leptin was included in the model, thus indicating that leptin mediates this relationship (beta(ind) = 1.074, 95% CI: 0.349 to 2.686, p &lt; 0.001). The percentage of the total effect mediated by leptin was 21%. Regarding sex, the mediation effect of leptin remains significant among boys (beta(ind) = 0.962, 95% CI: 0.009 to 2.615, p &lt; 0.001), but not in girls (Mind = 0.991, 95% CI: 1.263 to 5.483, p = 0.477). Conclusions: The findings are clinically relevant to consider leptin levels as a surrogate marker of insulin sensitivity when assessing youths with excess adiposity and/or suspected Nonalcoholic hepatic steatosis or nonalcoholic fatty liver disease (NAFLD). (C) 2020 The Italian Diabetes Society, the Italian Society for the Study of Atherosclerosis, the Italian Society of Human Nutrition and the Department of Clinical Medicine and Surgery, Federico II University. Published by Elsevier B.V. All rights reserved.</t>
  </si>
  <si>
    <t>González-Jiménez, Emilio/I-6039-2017; González-Ruíz, Katherine/CAA-4624-2022; Rio-Valle, Jacqueline/I-6333-2017; García-Hermoso, Antonio/ADU-2591-2022; Izquierdo, Mikel/A-4894-2010; Ramirez-Velez, Robinson/D-5311-2016; Correa-Rodriguez, Maria/G-1793-2018; Garcia-Hermoso, Antonio/P-1857-2017</t>
  </si>
  <si>
    <t>Gonzalez-Ruiz, Katherine/0000-0001-7518-0761; Izquierdo, Mikel/0000-0002-1506-4272; Ramirez-Velez, Robinson/0000-0003-3075-6960; Palomino-Echeverria, Sara/0000-0002-0451-3749; Correa-Rodriguez, Maria/0000-0001-9165-4349; Garcia-Hermoso, Antonio/0000-0002-1397-7182</t>
  </si>
  <si>
    <t>0939-4753</t>
  </si>
  <si>
    <t>1590-3729</t>
  </si>
  <si>
    <t>APR 9</t>
  </si>
  <si>
    <t>10.1016/j.numecd.2020.12.014</t>
  </si>
  <si>
    <t>MAR 2021</t>
  </si>
  <si>
    <t>WOS:000632557600034</t>
  </si>
  <si>
    <t>Ramírez-Vélez, R; Correa-Bautista, JE; González-Ruíz, K; Vivas, A; Triana-Reina, HR; Martínez-Torres, J; Prieto-Benavides, DH; Carrillo, HA; Ramos-Sepúlveda, JA; Villa-González, E; García-Hermoso, A</t>
  </si>
  <si>
    <t>Ramirez-Velez, Robinson; Enrique Correa-Bautista, Jorge; Gonzalez-Ruiz, Katherine; Vivas, Andres; Reynaldo Triana-Reina, Hector; Martinez-Torres, Javier; Humberto Prieto-Benavides, Daniel; Alejandro Carrillo, Hugo; Alexander Ramos-Sepulveda, Jeison; Villa-Gonzalez, Emilio; Garcia-Hermoso, Antonio</t>
  </si>
  <si>
    <t>Body Adiposity Index Performance in Estimating Body Fat Percentage in Colombian College Students: Findings from the FUPRECOL-Adults Study</t>
  </si>
  <si>
    <t>NUTRIENTS</t>
  </si>
  <si>
    <t>Recently, a body adiposity index (BAI = (hip circumference)/((height)(1.5))(-18)) was developed and validated in adult populations. The aim of this study was to evaluate the performance of BAI in estimating percentage body fat (BF%) in a sample of Colombian collegiate young adults. The participants were comprised of 903 volunteers (52% females, mean age = 21.4 years +/- 3.3). We used the Lin's concordance correlation coefficient, linear regression, Bland-Altman's agreement analysis, concordance correlation coefficient (rho c) and the coefficient of determination (R-2) between BAI, and BF%; by bioelectrical impedance analysis (BIA)). The correlation between the two methods of estimating BF% was R-2 = 0.384, p &lt; 0.001. A paired-sample t-test showed a difference between the methods (BIA BF% = 16.2 +/- 3.1, BAI BF% = 30.0 +/- 5.4%; p &lt; 0.001). For BIA, bias value was 6.0 +/- 6.2 BF% (95% confidence interval (CI) = 6.0 to 18.2), indicating that the BAI method overestimated BF% relative to the reference method. Lin's concordance correlation coefficient was poor (rho c = 0.014, 95% CI = 0.124 to 0.135; p = 0.414). In Colombian college students, there was poor agreement between BAI- and BIA-based estimates of BF%, and so BAI is not accurate in people with low or high body fat percentage levels.</t>
  </si>
  <si>
    <t>Correa-Bautista, Jorge Enrique/JDD-3131-2023; Triana-Reina, Héctor/JMP-5055-2023; García-Hermoso, Antonio/ADU-2591-2022; González-Ruíz, Katherine/CAA-4624-2022; Correa-Bautista, Jorge Enrique/N-2741-2015; Carrillo Arango, Hugo Alejandro/KUF-2175-2024; Garcia-Hermoso, Antonio/P-1857-2017; Ramirez-Velez, Robinson/D-5311-2016; Villa-Gonzalez, Emilio/G-6421-2015</t>
  </si>
  <si>
    <t>Vivas, Andres/0000-0001-8169-1664; Correa-Bautista, Jorge Enrique/0000-0002-0646-2316; Carrillo Arango, Hugo Alejandro/0000-0001-6832-5379; Prieto Benavides, Daniel Humberto/0000-0001-5493-8182; Garcia-Hermoso, Antonio/0000-0002-1397-7182; TRIANA-REINA, HECTOR REYNALDO/0000-0002-6334-7082; Martinez Torres, Javier/0000-0001-8991-5079; Ramirez-Velez, Robinson/0000-0003-3075-6960; Ramos-Sepulveda, Jeison Alexander/0000-0003-2734-7912; Gonzalez-Ruiz, Katherine/0000-0001-7518-0761; Villa-Gonzalez, Emilio/0000-0002-2815-2060</t>
  </si>
  <si>
    <t>2072-6643</t>
  </si>
  <si>
    <t>JAN</t>
  </si>
  <si>
    <t>10.3390/nu9010040</t>
  </si>
  <si>
    <t>WOS:000396465500040</t>
  </si>
  <si>
    <t>Cárcamo, D; Gamboa, J; Méndez, F; Das, AK; Polychronakos, AP</t>
  </si>
  <si>
    <t>Carcamo, Dante; Gamboa, Jorge; Mendez, Fernando; Das, Ashok K.; Polychronakos, Alexios P.</t>
  </si>
  <si>
    <t>Cosmic four-fermion neutrino secret interactions, enhancement, and total cross section</t>
  </si>
  <si>
    <t>PHYSICAL REVIEW D</t>
  </si>
  <si>
    <t>The scattering of neutrinos assuming a secret interaction at low energy is considered. To leading order in energy, the two-body potential is a delta-potential, and it is used as a motivation to study generic short-range elastic interactions between neutrinos. The scattering cross section and Sommerfeld enhancement depend on two phenomenological parameters deriving from the exact form of the potential, akin to renormalized coupling constants. Repulsive potentials lead to a decrease in the total cross section, resulting in an enhancement of the neutrino density. For attractive potentials of the right form, substantial Sommerfeld enhancement can appear.</t>
  </si>
  <si>
    <t>Das, Ashok/K-7202-2017; Gamboa, Jorge/R-8744-2019; Polychronakos, Alexios/HSC-2351-2023</t>
  </si>
  <si>
    <t>Polychronakos, Alexios P./0000-0002-0443-2797; Mendez, Fernando/0000-0002-9257-9552; Gamboa, Jorge/0000-0001-7992-7199; Das, Ashok/0000-0002-4958-6706</t>
  </si>
  <si>
    <t>1550-7998</t>
  </si>
  <si>
    <t>1550-2368</t>
  </si>
  <si>
    <t>MAR 23</t>
  </si>
  <si>
    <t>10.1103/PhysRevD.91.065028</t>
  </si>
  <si>
    <t>WOS:000351574000011</t>
  </si>
  <si>
    <t>Tian, MW; Zhu, LX; Sabzalian, MH; Tavoosi, J; Sarvenoee, AK; D'Urso, P; Ghaderpour, E; Mohammadzadeh, A</t>
  </si>
  <si>
    <t>Tian, Man-Wen; Zhu, Lixing; Sabzalian, Mohammad Hosein; Tavoosi, Jafar; Sarvenoee, Amirhosein Khosravi; D'Urso, Pierpaolo; Ghaderpour, Ebrahim; Mohammadzadeh, Ardashir</t>
  </si>
  <si>
    <t>A Type-3 Fuzzy-Based Model Predictive Control Approach for Management of Constant Energy</t>
  </si>
  <si>
    <t>ENERGY SCIENCE &amp; ENGINEERING</t>
  </si>
  <si>
    <t>Despite direct current (DC) microgrids' benefits over alternating current microgrids, these systems confront several difficulties. The instability brought on by constant power loads (CPLs) is one of the main challenges. Because of their rising negative impedance characteristics, CPLs reduce system performance. This study looks at a DC microgrid that has a photovoltaic (PV) battery grid connected to a CPL. To tackle this challenge, a disturbance observer and a continuous-time model predictive control based on type-3 fuzzy logic systems (T3-FLSs) are applied to the bidirectional DC-DC converter. Even in the face of load and PV generation fluctuations, this method aims to regulate the nonlinearity of the CPL and preserve system stability across a broad operating range. A new learning scheme based on square root cubature Kalman filter is developed for online deep learning of identified T3-FLS model. Finally, the proposed strategy is compared with the conventional model predictive control method, which demonstrates the superiority of the suggested method in terms of flexibility, reduced response time, reduced fluctuations, and improved stability. Tests were performed using a variety of circumstances, including variations in PV power and CPL load, to assess the system's performance. All these experiments and simulation results were performed in the MATLAB software. Simulation results show that the proposed network has very good performance in terms of dynamic response, precise tracking, and stability over a wide range. The voltage fluctuations are improved by about 20%. The suggested algorithm significantly impacts the energy efficiency of the microgrid by voltage stabilizing, enhancing microgrid adaptability to changing conditions, disturbances, increasing renewable integration, and reducing operational costs.</t>
  </si>
  <si>
    <t>Tavoosi, Jafar/ABE-2791-2021; Mohammadzadeh, Ardashir/AEN-2013-2022; Sabzalian, Mohammadhosein/AGZ-1425-2022; Ghaderpour, Ebrahim/ABF-8335-2020</t>
  </si>
  <si>
    <t>Ghaderpour, Ebrahim/0000-0002-5165-1773</t>
  </si>
  <si>
    <t>2050-0505</t>
  </si>
  <si>
    <t>2025 APR 1</t>
  </si>
  <si>
    <t>10.1002/ese3.70058</t>
  </si>
  <si>
    <t>APR 2025</t>
  </si>
  <si>
    <t>WOS:001458114700001</t>
  </si>
  <si>
    <t>Villafranca, JC; Berton, P; Ferguson, M; Clausen, R; Arancibia-Miranda, N; Martinis, EM</t>
  </si>
  <si>
    <t>Villafranca, Juan C.; Berton, Paula; Ferguson, Michael; Clausen, Ruth; Arancibia-Miranda, Nicolas; Martinis, Estefania M.</t>
  </si>
  <si>
    <t>Aluminosilicates-based nanosorbents for heavy metal removal - A review</t>
  </si>
  <si>
    <t>JOURNAL OF HAZARDOUS MATERIALS</t>
  </si>
  <si>
    <t>Contamination of water bodies with heavy metals poses a significant threat to human health and the environment, requiring the development of effective treatment techniques. In this context, aluminosilicates emerge as promising sorbents due to their cost-effectiveness and natural abundance. This review provides a clear, in-depth, and comprehensive description of the structure, properties, and characteristics of aluminosilicates, supporting their application as adsorbents and highlighting their diversity and adaptability to different matrices and analytes. Furthermore, the functionalization of these materials is thoroughly addressed, detailing the techniques currently used, exposing the advantages and disadvantages of each approach, and establishing comparisons and evaluations of the performances of various functionalized aluminosilicates in the extraction of heavy metals in aqueous matrices. This work aims not only to comprehensively review numerous studies from recent years but also to identify trends in the study of such materials and inspire future research and applications in the field of contaminant removal using aluminosilicates.</t>
  </si>
  <si>
    <t>Arancibia-Miranda, Nicolás/I-6743-2013; Berton, Paula/Q-2123-2015</t>
  </si>
  <si>
    <t>0304-3894</t>
  </si>
  <si>
    <t>1873-3336</t>
  </si>
  <si>
    <t>AUG 5</t>
  </si>
  <si>
    <t>10.1016/j.jhazmat.2024.134552</t>
  </si>
  <si>
    <t>MAY 2024</t>
  </si>
  <si>
    <t>WOS:001249447800001</t>
  </si>
  <si>
    <t>Raj, BGS; Mangalaraja, RV; Vinoth, V; Pugazhenthiran, N; Herrera, FV; Jauhar, RM; Anandan, S</t>
  </si>
  <si>
    <t>Raj, Balasubramaniam Gnana Sundara; Mangalaraja, Ramalinga Viswanathan; Vinoth, Victor; Pugazhenthiran, Nalandhiran; Herrera, Francisco Vicente; Jauhar, RO. MU.; Anandan, Sambandam</t>
  </si>
  <si>
    <t>Facile sonochemical synthesis of nanostructured FeWO4-rGO and CuCo2O4 nanocomposite for high-rate capability and stable asymmetric (CuCo2O4//FeWO4-rGO) supercapacitors</t>
  </si>
  <si>
    <t>JOURNAL OF ALLOYS AND COMPOUNDS</t>
  </si>
  <si>
    <t>The present work reports iron tungstate (FeWO4) nanostructures with reduced graphene oxide (rGO) as a novel anode material for enhancing the electrochemical properties of asymmetric supercapacitors. The FeWO4-rGO composite nanostructures were successfully synthesized by the one-pot sonochemical method. The synthesized nanocomposites crystal structure and phase purity were investigated using the powder X-ray diffraction (XRD) technique. The Fourier transform infrared (FT-IR) spectrograms demonstrate the presence of functional groups in the composite. The composite's morphology was examined using the high-resolution transmission electron microscopy (HR-TEM) and the field emission scanning electron microscopy (FE-SEM), and it was observed that the FeWO4 nanostructures were uniformly distributed on the reduced graphene oxide surface. The cyclic voltammetry (CV), galvanostatic charge-discharge (GCD), and electrochemical impedance spectroscopy (EIS) analyses were used to evaluate the electrochemical performance. After 5000 cycles at 10 mA cm(-2), the FeWO4-rGO composite achieved a better rate of efficiency and outstanding cycling performance, with capacitance retained at 68% and 77.8%, respectively. In 1 M Na2SO4, an asymmetric device (CuCo2O4//FeWO4-rGO composite) achieved a high energy density of 21.5 W.h Kg(-1) and a power density of 147 W Kg(-1). In the FeWO4-rGO nanocomposite, the reduced graphene oxide could enhance the conductivity and the free diffusion processes for the quick ion transport and easy ion access to the storage sites. The obtained results indicated that the FeWO4-rGO nanocomposite could be a good anode electrode material for the next-generation energy storage applications.</t>
  </si>
  <si>
    <t>Jauhar, RO/C-4479-2019; BALASUBRAMANIAM, GNANA SUNDARA RAJ/IXW-9308-2023; Sambandam, Anandan/C-8533-2013; Viswanathan, Mangalaraja/AAM-6090-2020; Nalandhiran, Pugazhenthiran/U-8664-2019; vinoth, victor/A-6541-2016</t>
  </si>
  <si>
    <t>Herrera, Francisco/0000-0001-7783-2970; vinoth, victor/0000-0003-2053-714X</t>
  </si>
  <si>
    <t>0925-8388</t>
  </si>
  <si>
    <t>1873-4669</t>
  </si>
  <si>
    <t>DEC 15</t>
  </si>
  <si>
    <t>10.1016/j.jallcom.2023.172156</t>
  </si>
  <si>
    <t>SEP 2023</t>
  </si>
  <si>
    <t>WOS:001081720600001</t>
  </si>
  <si>
    <t>Fernández-Galleguillos, C; Jiménez-Aspee, F; Mieres-Castro, D; Rodríguez-Núñez, YA; Gutiérrez, M; Guzmán, L; Echeverría, J; Sandoval-Yañez, C; Forero-Doria, O</t>
  </si>
  <si>
    <t>Fernandez-Galleguillos, Carlos; Jimenez-Aspee, Felipe; Mieres-Castro, Daniel; Rodriguez-Nunez, Yeray A.; Gutierrez, Margarita; Guzman, Luis; Echeverria, Javier; Sandoval-Yanez, Claudia; Forero-Doria, Oscar</t>
  </si>
  <si>
    <t>Phenolic Profile and Cholinesterase Inhibitory Properties of Three Chilean Altiplano Plants: Clinopodium gilliesii (Benth.) Kuntze [Lamiaceae], Mutisia acuminata Ruiz &amp; Pav. var. hirsuta (Meyen) Cabrera, and Tagetes multiflora (Kunth) [Asteraceae]</t>
  </si>
  <si>
    <t>PLANTS-BASEL</t>
  </si>
  <si>
    <t>This research aimed to identify the phenolic profile and composition of the aerial parts of three native species used in traditional medicine in the Andean Altiplano of northern Chile: Clinopodium gilliesii (Benth.) Kuntze [Lamiaceae] (commonly known as Muna-Muna), Mutisia acuminata Ruiz &amp; Pav. var. hirsuta (Meyen) Cabrera [Asteraceae] (commonly known as Chinchircoma), and Tagetes multiflora (Kunth), [Asteraceae] (commonly known as Gracilis), as well as to evaluate their potential inhibitory effects against acetylcholinesterase (AChE) and butyrylcholinesterase (BChE). Polyphenolic enriched-extracts (PEEs) of the species were prepared and analyzed and the main components were quantified using HPLC-DAD. In total, 30 phenolic compounds were identified and quantified in all species, including simple phenolics, hydroxycinnamic acids, flavan-3-ols (monomers and polymers), flavanones, and flavonols. In addition, other main phenolics from the extracts were tentatively identified by ESI-MS-MS high-resolution analysis. T. multiflora extract showed the greatest anti-AChE and BChE activity in comparison with C. gilliesii and M. acuminata extracts, being the anti-AChE and BChE activity weak in all extracts in comparison to galantamine control. To comprise to better understand the interactions between cholinesterase enzymes and the main phenolics identified in T. multiflora, molecular docking analysis was conducted.</t>
  </si>
  <si>
    <t>forero doria, oscar/ABF-8164-2020; Barrera-Guzmán, Luis Ángel/AEK-3979-2022; Rodriguez-Nunez, Yeray/ABB-5662-2020; Galleguillos, Carlos/ABA-5721-2020; Echeverría, Javier/E-9989-2011; Gutierrez, Margarita/KIC-9718-2024; Aspee, Felipe/ABA-2948-2020; sandoval, claudia/AAT-1665-2020; Jimenez Aspee, Felipe/G-6955-2017</t>
  </si>
  <si>
    <t>Jimenez Aspee, Felipe/0000-0002-7285-7033; Echeverria, Javier/0000-0002-1688-968X; Mieres Castro, Daniel/0000-0003-3375-0951; Rodriguez, Yeray/0000-0003-4935-876X; Fernandez-Galleguillos, Carlos/0000-0003-4282-8853</t>
  </si>
  <si>
    <t>2223-7747</t>
  </si>
  <si>
    <t>10.3390/plants12040819</t>
  </si>
  <si>
    <t>WOS:000940051700001</t>
  </si>
  <si>
    <t>Abenza, JF; Couturier, E; Dodgson, J; Dickmann, J; Chessel, A; Dumais, J; Salas, REC</t>
  </si>
  <si>
    <t>Abenza, Juan F.; Couturier, Etienne; Dodgson, James; Dickmann, Johanna; Chessel, Anatole; Dumais, Jacques; Salas, Rafael E. Carazo</t>
  </si>
  <si>
    <t>Wall mechanics and exocytosis define the shape of growth domains in fission yeast</t>
  </si>
  <si>
    <t>NATURE COMMUNICATIONS</t>
  </si>
  <si>
    <t>The amazing structural variety of cells is matched only by their functional diversity, and reflects the complex interplay between biochemical and mechanical regulation. How both regulatory layers generate specifically shaped cellular domains is not fully understood. Here, we report how cell growth domains are shaped in fission yeast. Based on quantitative analysis of cell wall expansion and elasticity, we develop a model for how mechanics and cell wall assembly interact and use it to look for factors underpinning growth domain morphogenesis. Surprisingly, we find that neither the global cell shape regulators Cdc42-Scd1-Scd2 nor the major cell wall synthesis regulators Bgs1-Bgs4-Rgf1 are reliable predictors of growth domain geometry. Instead, their geometry can be defined by cell wall mechanics and the cortical localization pattern of the exocytic factors Sec6-Syb1-Exo70. Forceful re-directioning of exocytic vesicle fusion to broader cortical areas induces proportional shape changes to growth domains, demonstrating that both features are causally linked.</t>
  </si>
  <si>
    <t>Chessel, Anatole/O-8902-2019; Abenza, Juan/AAH-4930-2019; Dumais, Jacques/H-7950-2013</t>
  </si>
  <si>
    <t>Carazo-Salas, Rafael E/0000-0002-5943-3981; Chessel, Anatole/0000-0002-1326-6305; Dickmann, Johanna E. M./0000-0002-0861-4440; Dumais, Jacques/0000-0003-2344-4766; Abenza Martinez, Juan Francisco/0000-0003-1685-1013</t>
  </si>
  <si>
    <t>2041-1723</t>
  </si>
  <si>
    <t>OCT</t>
  </si>
  <si>
    <t>10.1038/ncomms9400</t>
  </si>
  <si>
    <t>WOS:000364922900002</t>
  </si>
  <si>
    <t>Argote, MR; Guillén, ES; Porras, AGG; Torres, OS; Richard, C; Zagal, JH; Bedioui, F; Granados, SG; Griveau, S</t>
  </si>
  <si>
    <t>Rangel Argote, Magdalena; Sanchez Guillen, Elizabeth; Gutierrez Porras, Ana Gabriela; Serrano Torres, Oracio; Richard, Cyrille; Zagal, Jose H.; Bedioui, Fethi; Gutierrez Granados, Silvia; Griveau, Sophie</t>
  </si>
  <si>
    <t>Preparation and Characterization of Electrodes Modified with Pyrrole Surfactant, Multiwalled Carbon Nanotubes and Metallophthalocyanines for the Electrochemical Detection of Thiols</t>
  </si>
  <si>
    <t>ELECTROANALYSIS</t>
  </si>
  <si>
    <t>Our aim was to prepare hybrid electrodes active towards the electrooxidation of thiols by the co-immobilization of native carbon nanotubes (CNTs) and cobalt phthalocyanine (CoPc) from aqueous solutions. This strategy was adopted to avoid the oxidation of CNTs that can induce a modification of their exceptional properties. To do so, a hydrosoluble pyrrole surfactant was used to get homogeneous aqueous dispersions of CNTs and CoPc and to trap both materials on the electrode via the electropolymerization of the pyrrole surfactant. The hybrid electrodes exhibit a good electrocatalytic activity towards the oxidation of L-cysteine and glutathione. Their performances in terms of limit of detection (0.01mM) are compatible with the detection of these thiols in biological samples.</t>
  </si>
  <si>
    <t>Gutierrez-Granados, Silvia/IUQ-8021-2023; zagal, jose/L-9648-2014; Richard, Cyrille/O-6802-2017; Bedioui, Fethi/N-3507-2014</t>
  </si>
  <si>
    <t>Richard, Cyrille/0000-0003-4896-6675; Gutierrez Granados, Silvia/0000-0002-9830-4234; Bedioui, Fethi/0000-0002-0063-4412</t>
  </si>
  <si>
    <t>1040-0397</t>
  </si>
  <si>
    <t>1521-4109</t>
  </si>
  <si>
    <t>MAR</t>
  </si>
  <si>
    <t>10.1002/elan.201300578</t>
  </si>
  <si>
    <t>WOS:000332379700007</t>
  </si>
  <si>
    <t>Toledo, M; Bubnovich, V; Saveliev, A; Kennedy, L</t>
  </si>
  <si>
    <t>Toledo, Mario; Bubnovich, Valeri; Saveliev, Alexei; Kennedy, Lawrence</t>
  </si>
  <si>
    <t>Hydrogen production in ultrarich combustion of hydrocarbon fuels in porous media</t>
  </si>
  <si>
    <t>INTERNATIONAL JOURNAL OF HYDROGEN ENERGY</t>
  </si>
  <si>
    <t>Rich and ultrarich combustion of methane, ethane, and propane inside inert porous media is studied experimentally and numerically to examine the suitability of the concept for hydrogen production. Temperature, velocities, and chemical products of the combustion waves were recorded experimentally at a range of equivalence ratios from stoichiometry (phi = 1.0) to phi = 2.5, for a filtration velocity of 12 cm/s. Two-temperature numerical model based on comprehensive heat transfer and chemical mechanisms is found to be in a good qualitative agreement with experimental data. Partial oxidation products of methane, ethane, and propane (H-2, CO, and C-2 hydrocarbons) are dominant for ultrarich super-adiabatic combustion. The maximum hydrogen yield is close to 50% for all fuels, and carbon monoxide yield is close to 80%. (C) 2008 International Association for Hydrogen Energy. Published by Elsevier Ltd. All rights reserved.</t>
  </si>
  <si>
    <t>Saveliev, Alexei/G-4981-2011; Toledo, Mario/Q-4859-2019</t>
  </si>
  <si>
    <t>Toledo, Mario/0000-0001-6443-9256</t>
  </si>
  <si>
    <t>0360-3199</t>
  </si>
  <si>
    <t>1879-3487</t>
  </si>
  <si>
    <t>10.1016/j.ijhydene.2008.12.001</t>
  </si>
  <si>
    <t>WOS:000264355300021</t>
  </si>
  <si>
    <t>Sandoval, SS; Díaz-Saldívar, P; Araya, I; Celis, F; Cortés-Arriagada, D; Riveros, A; Rojas-Romo, C; Jullian, C; Silva, N; Yutronic, N; Kogan, MJ; Jara, P</t>
  </si>
  <si>
    <t>Salazar Sandoval, Sebastian; Diaz-Saldivar, Patricia; Araya, Ingrid; Celis, Freddy; Cortes-Arriagada, Diego; Riveros, Ana; Rojas-Romo, Carlos; Jullian, Carolina; Silva, Nataly; Yutronic, Nicolas; Kogan, Marcelo J.; Jara, Paul</t>
  </si>
  <si>
    <t>Controlled Release of the Anticancer Drug Cyclophosphamide from a Superparamagnetic β-Cyclodextrin Nanosponge by Local Hyperthermia Generated by an Alternating Magnetic Field</t>
  </si>
  <si>
    <t>ACS APPLIED MATERIALS &amp; INTERFACES</t>
  </si>
  <si>
    <t>A beta-cyclodextrin (beta-CD) nanosponge (NS) was synthesized using diphenyl carbonate (DPC) as a cross-linker to encapsulate the antitumor drug cyclophosphamide (CYC), thus obtaining the NSs-CYC system. The formulation was then associated with magnetite nanoparticles (MNPs) to develop the MNPs-NSs-CYC ternary system. The formulations mentioned above were characterized to confirm the deposition of the MNPs onto the organic matrix and that the superparamagnetic nature of the MNPs was preserved upon association. The association of the MNPs with the NSs-drug complex was confirmed through field emission scanning electron microscopy, energy dispersive spectroscopy, transmission electron microscopy, X-ray photoelectron spectroscopy, dynamic light scattering, zeta-potential, atomic absorption spectroscopy, X-ray powder diffraction, selected area electron diffraction, and vibrating-sample magnetometer. The superparamagnetic properties of the ternary system allowed the release of CYC by utilizing magnetic hyperthermia upon the exposure of an alternating magnetic field (AMF). The drug release experiments were carried out at different frequencies and intensities of the magnetic field, complying with the Atkinson-Brezovich criterion. The assays in AMF showed the feasibility of release by controlling hyperthermia of the drug, finding that the most efficient conditions were F = 280 kHz, H = 15 mT, and a concentration of MNPs of 5 mg/mL. CYC release was temperature-dependent, facilitated by local heat generation through magnetic hyperthermia. This phenomenon was confirmed by DFT calculations. Furthermore, the ternary systems outperformed the formulations without MNPs regarding the amount of released drug. The MTS (3-(4,5-dimethylthiazol-2-yl)-5-(3-carboxymethoxyphenyl)-2-(4-sulfophenyl)-2H-tetrazolium) assays demonstrated that including CYC within the magnetic NS cavities reduced the effects on mitochondrial activity compared to those observed with the free drug. Finally, the magnetic hyperthermia assays showed that the tertiary system allows the generation of apoptosis in HeLa cells, demonstrating that the MNPs embedded maintain their properties to generate hyperthermia. These results suggest that using NSs associated with MNPs could be a potential tool for a controlled drug delivery in tumor therapy since the materials are efficient and potentially nontoxic.</t>
  </si>
  <si>
    <t>Díaz, Patricia/GOV-2972-2022; riveros, ana/AAD-2134-2020; Jara, Paul/ADD-5252-2022; kogan, Marcelo/I-2868-2013; Cortés-Arriagada, Diego/J-5940-2019; Celis, Freddy/GPT-0287-2022; SALAZAR SANDOVAL, SEBASTIAN ANDRES/MAI-5360-2025</t>
  </si>
  <si>
    <t>SALAZAR SANDOVAL, SEBASTIAN ANDRES/0000-0002-5195-4432</t>
  </si>
  <si>
    <t>1944-8244</t>
  </si>
  <si>
    <t>1944-8252</t>
  </si>
  <si>
    <t>APR 19</t>
  </si>
  <si>
    <t>10.1021/acsami.3c18038</t>
  </si>
  <si>
    <t>APR 2024</t>
  </si>
  <si>
    <t>WOS:001242267400001</t>
  </si>
  <si>
    <t>Hanoon, AN; Hason, MM; Sharba, AAK; Abdulhameed, AA; Amran, M; Avudaiappan, S; Flores, ES</t>
  </si>
  <si>
    <t>Hanoon, Ammar N.; Hason, Mahir M.; Sharba, Amjad Ali K.; Abdulhameed, Ali A.; Amran, Mugahed; Avudaiappan, Siva; Flores, Erick Saavedra</t>
  </si>
  <si>
    <t>Sawdust-Based Concrete Composite-Filled Steel Tube Beams: An Experimental and Analytical Investigation</t>
  </si>
  <si>
    <t>JOURNAL OF COMPOSITES SCIENCE</t>
  </si>
  <si>
    <t>Incorporating waste byproducts into concrete is an innovative and promising way to minimize the environmental impact of waste material while maintaining and/or improving concrete's mechanical characteristics and strength. The proper application of sawdust as a pozzolan in the building industry remains a significant challenge. Consequently, this study conducted an experimental evaluation of sawdust as a fill material. In particular, sawdust as a fine aggregate in concrete offers a realistic structural and economical possibility for the construction of lightweight structural systems. Failure under four-point loads was investigated for six concrete-filled steel tube (CFST) specimens. The results indicated that recycled lightweight concrete performed similarly to conventional concrete when used as a filler material in composite steel tube beams. The structural effects of sawdust substitution on ultimate load and initial stiffness were less substantial than the relative changes in the material properties, and the ultimate capacity of the tested samples decreased moderately as the substitution percentage of sawdust increased. Moreover, the maximum load capacity was observed to decrease by 6.43-30.71% for sawdust replacement levels between 5% and 45.1% across all tested samples. Additionally, when using lightweight concrete with 5% sawdust, the moment value of the CFST sample was reduced by 6.4%. Notably, the sawdust CFST samples exhibited a flexural behavior that was relatively comparable to that of the standard CFST samples.</t>
  </si>
  <si>
    <t>Avudaiappan, Siva/AAV-7579-2021; Hanoon, Ammar/M-4941-2019; amran, mugahed/AAW-4821-2020; Hason, Dr. Mahir/C-4835-2019; Abdulhameed, Ali/U-2781-2019; Hanoon, Ammar/G-8461-2019</t>
  </si>
  <si>
    <t>Abdulhameed, Ali/0000-0002-6845-3669; AVUDAIAPPAN, SIVA/0000-0002-4289-4298; Hason, Mahir/0000-0001-8292-5047; Hanoon, Ammar/0000-0002-1369-9856</t>
  </si>
  <si>
    <t>2504-477X</t>
  </si>
  <si>
    <t>10.3390/jcs7060256</t>
  </si>
  <si>
    <t>WOS:001017397500001</t>
  </si>
  <si>
    <t>Chiu, SF; Quezada, LE; Tan, KH; da Costa, SEG</t>
  </si>
  <si>
    <t>Chiu (Anthony), Shun Fung; Quezada, Luis E.; Tan, Kim Hua; Gouvea da Costa, Sergio E.</t>
  </si>
  <si>
    <t>Systemic approach to the new production research challenges</t>
  </si>
  <si>
    <t>INTERNATIONAL JOURNAL OF PRODUCTION ECONOMICS</t>
  </si>
  <si>
    <t>This virtual special issue highlights emerging production research challenges alongside a systemic approach in forms of novel contributions in literature review, thematic analyses, and methodological advances. The selected articles provide insights on how new production research challenges bring about opportunities for growth in sub-fields of supply chain networks, new product development, environmental and economically viable issues, service value chain, and machine learning among others. In this article, an overview of key organizational characteristics as well as significant theoretical ideas and practical applications to production research issues are presented. Future directions in the production research domain are also provided.</t>
  </si>
  <si>
    <t>Gouvea da Costa, Sergio/I-5575-2014; Tan, Kim/E-7735-2010; Chiu, Shun/ABA-4570-2020; Quezada, Luis/W-8168-2019</t>
  </si>
  <si>
    <t>Chiu, Anthony Shun Fung/0000-0003-2411-7302</t>
  </si>
  <si>
    <t>0925-5273</t>
  </si>
  <si>
    <t>1873-7579</t>
  </si>
  <si>
    <t>APR</t>
  </si>
  <si>
    <t>10.1016/j.ijpe.2019.09.016</t>
  </si>
  <si>
    <t>WOS:000525321500020</t>
  </si>
  <si>
    <t>Rowe, PM; Cox, CJ; Walden, V</t>
  </si>
  <si>
    <t>Rowe, Penny M.; Cox, Christopher J.; Walden, Von P.</t>
  </si>
  <si>
    <t>Toward autonomous surface-based infrared remote sensing of polar clouds: cloud-height retrievals</t>
  </si>
  <si>
    <t>ATMOSPHERIC MEASUREMENT TECHNIQUES</t>
  </si>
  <si>
    <t>Polar regions are characterized by their remoteness, making measurements challenging, but an improved knowledge of clouds and radiation is necessary to understand polar climate change. Infrared radiance spectrometers can operate continuously from the surface and have low power requirements relative to active sensors. Here we explore the feasibility of retrieving cloud height with an infrared spectrometer that would be designed for use in remote polar locations. Using a wide variety of simulated spectra of mixed-phase polar clouds at varying instrument resolutions, retrieval accuracy is explored using the CO2 slicing/sorting and the minimum local emissivity variance (MLEV) methods. In the absence of imposed errors and for clouds with optical depths greater than similar to aEuro-0.3, cloud-height retrievals from simulated spectra using CO2 slicing/sorting and MLEV are found to have roughly equivalent high accuracies: at an instrument resolution of 0.5aEuro-cm(-1), mean biases are found to be similar to aEuro-0.2aEuro-km for clouds with bases below 2 and -0.2aEuro-km for higher clouds. Accuracy is found to decrease with coarsening resolution and become worse overall for MLEV than for CO2 slicing/sorting; however, the two methods have differing sensitivity to different sources of error, suggesting an approach that combines them. For expected errors in the atmospheric state as well as both instrument noise and bias of 0.2aEuro-mW/(m(2)aEuro-sraEuro-cm(-1)), at a resolution of 4aEuro-cm(-1), average retrieval errors are found to be less than similar to aEuro-0.5aEuro-km for cloud bases within 1aEuro-km of the surface, increasing to similar to aEuro-1.5aEuro-km at 4aEuro-km. This sensitivity indicates that a portable, surface-based infrared radiance spectrometer could provide an important complement in remote locations to satellite-based measurements, for which retrievals of low-level cloud are challenging.</t>
  </si>
  <si>
    <t>COX, CHRISTOPHER/O-4276-2016</t>
  </si>
  <si>
    <t>COX, CHRISTOPHER/0000-0003-2203-7173; Walden, Von P./0000-0003-3857-4416; Rowe, Penny/0000-0002-7594-0553</t>
  </si>
  <si>
    <t>1867-1381</t>
  </si>
  <si>
    <t>1867-8548</t>
  </si>
  <si>
    <t>10.5194/amt-9-3641-2016</t>
  </si>
  <si>
    <t>WOS:000383146000002</t>
  </si>
  <si>
    <t>Yañez, D; Guerrero, S; Lieberwirth, I; Ulloa, MT; Gomez, T; Rabagliati, FM; Zapata, PA</t>
  </si>
  <si>
    <t>Yanez, Daniela; Guerrero, Sichem; Lieberwirth, Ingo; Teresa Ulloa, Maria; Gomez, Tatiana; Rabagliati, Franco M.; Zapata, Paula A.</t>
  </si>
  <si>
    <t>Photocatalytic inhibition of bacteria by TiO2 nanotubes-doped polyethylene composites</t>
  </si>
  <si>
    <t>APPLIED CATALYSIS A-GENERAL</t>
  </si>
  <si>
    <t>Polyethylene (PE) and polyethylene-octadecene (LLDPE) composites containing titanium dioxide nanotubes were synthesized and applied to the inhibition of selected bacteria. It was found that polymerization rate of the polymerizations increased with the incorporation of the octadecene compared with bare ethylene, while with modified nanotubes (O-TiO2-Ntbs) the catalytic activity showed a slight decrease compared with the pure polymer. Regarding physical properties, the melting temperature and cristallinity of PE was higher than LLDPE. LLDPE presented lower rigidity than PE and thus lower Young's modulus. On the other hand, with the incorporation of nanotubes, Young's modulus did not change.significantly with respect to PE. After 2 h of contact, the PE/O-TiO2-Ntbs composite showed a reduction of Escherichia coli of 36.7% under no UVA irradiations. In contrast, LLDPE/O-TiO2-Ntbs showed 63.5%. The photocatalytic reduction (under UVA light) was much higher and after 60 min the LLDPE/O-TiO2-Ntbs composites showed a bacterial reduction of 99.9%, whereas the PE/O-TiO2-Ntbs showed 42.6% of catalytic reduction. (C) 2014 Elsevier B.V. All rights reserved.</t>
  </si>
  <si>
    <t>Gómez, Tatiana/X-9734-2019; Lieberwirth, Ingo/Q-5862-2017</t>
  </si>
  <si>
    <t>Zapata, Paula Andrea/0000-0003-3361-6226; Gomez, Tatiana/0000-0001-6127-330X</t>
  </si>
  <si>
    <t>0926-860X</t>
  </si>
  <si>
    <t>1873-3875</t>
  </si>
  <si>
    <t>10.1016/j.apcata.2014.10.051</t>
  </si>
  <si>
    <t>WOS:000347497500031</t>
  </si>
  <si>
    <t>Charrier, R; Contreras, JP; Díaz-Bórquez, C; Farías, M; Jara, P; Muñoz-Gómez, M; Quiñones, S; Rodríguez, MP; Tapia, F; Villaseñor, T</t>
  </si>
  <si>
    <t>Charrier, Reynaldo; Contreras, Juan Pablo; Diaz-Borquez, Camila; Farias, Marcelo; Jara, Pamela; Munoz-Gomez, Marcia; Quinones, Sergio; Rodriguez, Maria Pia; Tapia, Felipe; Villasenor, Tania</t>
  </si>
  <si>
    <t>The Cenozoic Abanico rift system: Implications of increased southward extension in the southern central Andes, in Chile</t>
  </si>
  <si>
    <t>JOURNAL OF SOUTH AMERICAN EARTH SCIENCES</t>
  </si>
  <si>
    <t>The late Eocene-Early Miocene intra-arc Abanico extensional basin represents a major feature in central Chile (similar to 31 degrees-42 degrees S). Such basin system concentrated the magmatic activity along this Andean region and hosted locally more than 3.000 m of volcanic and volcaniclastic deposits (Abanico Formation) over a southward thinning crust (&lt;35 km thick). South of 34 degrees 30 ' S, major changes occur in and out of the basin realm that modify the rather regular distribution of the geological features observed northwards, namely: 1. Southward termination of the exposures of the Farellones Formation, 2. Increased presence of pre-Abanico volcanic and plutonic exposures in the basin realm, 3. Southward width increase of the basin, 4. Abrupt end in the Maule region of the Cretaceous plutonic swaths exposed in the eastern Coastal Cordillera and westward bend of the swaths of Mesozoic units, 5. Increased presence of primitive volcanic rocks in the west-side of the basin, and 6. Presence, south of 36 degrees S, of the Cura-Mall &amp; iacute;n Formation on the east-side of the basin. These changes are caused by the oblique orientation of the Abanico basin relative to the Mesozoic structural and paleogeographic trends and are enhanced by the increased southward opening of the basin. This opening would have occurred through a westward scissors-like rotation of the block of continental crust located west of the basin, which corresponds to the present-day Coastal Cordillera south of 34 degrees 30 ' S. The eastern border, which is represented by the El Diablo fault, remained essentially fixed. The westward rotation is supported by the north-northeast orientation of the Mesozoic plutonic and stratified swaths south of 34 degrees 30 ' S. Additionally, the swaths of Mesozoic rocks are obliquely interrupted by the similarly oriented western border of the basin. Previous analogue models designed to understand the opening and closure mechanisms of an extensional basin show that greater extension and subsidence in the basin occur next to the mobile border, which in the Abanico basin was located on its west side. This observation aligns with the increased southward presence of primitive volcanic rocks, like the Colbun Formation, in the region where crustal thinning would have been greater. Analogue models show that the increased southward extension allowed the development of wider depocenters. In the Maule region, an eastern depocenter near the El Diablo fault, hosted the Early to Middle Miocene deposits of the Cura-Mallin Formation. During contraction, deeply rooted reverse faults can involve basement rocks of the basin and bring them up to the surface as observed in the Abanico basin realm in the Tinguiririca and Maule regions. This study also highlights the continuity and importance of the El Diablo fault in the configuration of the basin. It is shown that, notwithstanding the existence of major changes south of 34 degrees 30 ' S, this fault represents a major structural element that remained unchanged along the Andean segment comprised between similar to 32 degrees and 36 degrees 30 ' S separating the Cenozoic deposits to the west from Mesozoic deposits to the east. This fault can be traced continuously from, at least, the Aconcagua valley (33 degrees S) to the Maule region (36 degrees 30 ' S), and most probably extends further south. Apart from separating the Cenozoic Abanico basin deposits from the Mesozoic units involved in the east-vergent Andean fold-thrust belt, its trace forms an almost straight line that connects the Palomo, Tinguiririca, Planchon-Peteroa, Descabezados, San Pedro and Rezago volcanic centers and complexes, hot-springs, and hydrothermal alterations.</t>
  </si>
  <si>
    <t>Villaseñor, Tania/U-3226-2017; Tapia, Felipe/F-5036-2018; Rodriguez, Maria Pia/HHN-1452-2022; Farias, Marcelo/K-4588-2014; Munoz-Gomez, Marcia/I-6785-2012</t>
  </si>
  <si>
    <t>Rodriguez, Maria Pia/0000-0002-9503-3475; Munoz-Gomez, Marcia/0000-0002-9175-147X; Jara, Pamela/0000-0002-9717-9283</t>
  </si>
  <si>
    <t>0895-9811</t>
  </si>
  <si>
    <t>1873-0647</t>
  </si>
  <si>
    <t>NOV 15</t>
  </si>
  <si>
    <t>10.1016/j.jsames.2024.105159</t>
  </si>
  <si>
    <t>SEP 2024</t>
  </si>
  <si>
    <t>WOS:001334207900001</t>
  </si>
  <si>
    <t>Barraza, N; Barrios, GA; Peng, J; Lamata, L; Solano, E; Albarrán-Arriagada, F</t>
  </si>
  <si>
    <t>Barraza, Nancy; Barrios, Gabriel Alvarado; Peng, Jie; Lamata, Lucas; Solano, Enrique; Albarran-Arriagada, Francisco</t>
  </si>
  <si>
    <t>Analog quantum approximate optimization algorithm</t>
  </si>
  <si>
    <t>QUANTUM SCIENCE AND TECHNOLOGY</t>
  </si>
  <si>
    <t>We present an analog version of the quantum approximate optimization algorithm suitable for current quantum annealers. The central idea of this algorithm is to optimize the schedule function, which defines the adiabatic evolution. It is achieved by choosing a suitable parametrization of the schedule function based on interpolation methods for a fixed time, with the potential to generate any function. This algorithm provides an approximate result of optimization problems that may be developed during the coherence time of current quantum annealers on their way toward quantum advantage.</t>
  </si>
  <si>
    <t>Solano, Enrique/C-2895-2017; 彭, 杰/IRZ-2087-2023; Alvarado, Gabriel/GLS-6513-2022; Lamata, Lucas/CAG-6488-2022</t>
  </si>
  <si>
    <t>Lamata, Lucas/0000-0002-9504-8685; Albarran-Arriagada, Francisco/0000-0001-8899-3673; /0000-0002-8684-4209; SOLANO VILLANUEVA, ENRIQUE LEONIDAS/0000-0002-8602-1181; Barraza, Nancy/0009-0006-5923-3505</t>
  </si>
  <si>
    <t>2058-9565</t>
  </si>
  <si>
    <t>10.1088/2058-9565/ac91f0</t>
  </si>
  <si>
    <t>WOS:000859609000001</t>
  </si>
  <si>
    <t>Mayorga-Weber, G; Beltrán, FA; Torres, L; Troncoso-Escudero, P; Villalobos-González, J; Lara, M; Covarrubias-Pinto, A; Valdivia, S; Vicencio, I; Papic, E; Rojas, A; Lamberti, L; Court, F; Rosas-Arellano, A; Bátiz, F; Rojas, P; Castro, MA</t>
  </si>
  <si>
    <t>Mayorga-Weber, Gonzalo; Beltran, Felipe A.; Torres, Leandro; Troncoso-Escudero, Paulina; Villalobos-Gonzalez, Juan; Lara, Marcelo; Covarrubias-Pinto, Adriana; Valdivia, Sharin; Vicencio, Isidora; Papic, Eduardo; Rojas, Alejandro; Lamberti, Luis; Court, Felipe; Rosas-Arellano, Abraham; Batiz, Federico; Rojas, Patricio; Castro, Maite A.</t>
  </si>
  <si>
    <t>Altered secretion of astrocyte-derived extracellular vesicles contribute to metabolic and redox imbalance in Huntington's disease</t>
  </si>
  <si>
    <t>JOURNAL OF NEUROCHEMISTRY</t>
  </si>
  <si>
    <t>Rojas, Patricio/ISS-1091-2023; Covarrubias, Adriana/MTB-7398-2025; ROSAS-ARELLANO, ABRAHAM/AAJ-3873-2020; papic, eduardo/MYR-4309-2025; Court, Felipe/C-5911-2015</t>
  </si>
  <si>
    <t>0022-3042</t>
  </si>
  <si>
    <t>1471-4159</t>
  </si>
  <si>
    <t>AUG</t>
  </si>
  <si>
    <t>SI</t>
  </si>
  <si>
    <t>WTH04-03</t>
  </si>
  <si>
    <t>WOS:000844569000282</t>
  </si>
  <si>
    <t>Ramírez-Vélez, R; Rincón-Pabón, D; Correa-Bautista, JE; García-Hermoso, A; Izquierdo, M</t>
  </si>
  <si>
    <t>Ramirez-Velez, Robinson; Rincon-Pabon, David; Correa-Bautista, Jorge E.; Garcia-Hermoso, Antonio; Izquierdo, Mikel</t>
  </si>
  <si>
    <t>Handgrip strength: Normative reference values in males and females aged 6-64 Years old in a Colombian population</t>
  </si>
  <si>
    <t>CLINICAL NUTRITION ESPEN</t>
  </si>
  <si>
    <t>Background: Handgrip strength (HGS) is an indicator of overall strength; therefore, individual HGS measurements should be interpreted using geographic region and ethnic group references. Aims: The aim of this study was to develop new normative values for absolute and relative HGS in the Colombian population after stratification by sex, age, and body mass using the large National Representative Nutrition Survey 2015. Methods: This cross-sectional study included 3803 subjects aged 6-64 years. Absolute HGS was measured using a hand dynamometer with an adjustable grip, and normalized HGS was calculated by dividing the HGS by body mass. Smoothed centile tables for the P3, P10, P25, P50, P75, P90, and P97 centiles were calculated using Cole's lambda-mu-sigma (LMS) method. This study used a cutoff at 2 standard deviations (SDs) below the sex-specific peak mean value across the life course to define weak, absolute and relative HGS. Results: In men, HGS peaked at 26-33 years of age (-43.0 kg in P50), especially in the upper centiles, and fell away quickly. The pattern was different in females, where this value peaked at ages 25-33 (-26.0 kg in P50). We found a curvilinear pattern for HGS that declined with age in both sexes. There was significant variation in the slope for HGS in men and women around the age of 25 and 35 years, respectively. Conclusion: The normative values presented here are a valuable source of information for the clinical assessment of HGS and for comparison with studies from other countries. (C) 2021 European Society for Clinical Nutrition and Metabolism. Published by Elsevier Ltd. All rights reserved.</t>
  </si>
  <si>
    <t>García-Hermoso, Antonio/ADU-2591-2022; Rincón-Pabón, David/O-4165-2019; Correa-Bautista, Jorge Enrique/JDD-3131-2023; Izquierdo, Mikel/A-4894-2010; Garcia-Hermoso, Antonio/P-1857-2017; Correa-Bautista, Jorge Enrique/N-2741-2015; Ramirez-Velez, Robinson/D-5311-2016</t>
  </si>
  <si>
    <t>Izquierdo, Mikel/0000-0002-1506-4272; Garcia-Hermoso, Antonio/0000-0002-1397-7182; Correa-Bautista, Jorge Enrique/0000-0002-0646-2316; Ramirez-Velez, Robinson/0000-0003-3075-6960</t>
  </si>
  <si>
    <t>2405-4577</t>
  </si>
  <si>
    <t>10.1016/j.clnesp.2021.05.009</t>
  </si>
  <si>
    <t>JUL 2021</t>
  </si>
  <si>
    <t>WOS:000678558000049</t>
  </si>
  <si>
    <t>C</t>
  </si>
  <si>
    <t>Avalos, D; Cuadrado, C; Dunstan, J; Moraga-Correa, J; Rojo-González, L; Troncoso, N; Vásquez, OC</t>
  </si>
  <si>
    <t>Parlier, GH; Liberatore, F; Demange, M</t>
  </si>
  <si>
    <t>Avalos, Denisse; Cuadrado, Cristobal; Dunstan, Jocelyn; Moraga-Correa, Javier; Rojo-Gonzalez, Luis; Troncoso, Nelson; Vasquez, Oscar C.</t>
  </si>
  <si>
    <t>Mathematical Model for Estimating Nutritional Status of the Population with Poor Data Quality in Developing Countries: The Case of Chile</t>
  </si>
  <si>
    <t>PROCEEDINGS OF THE 10TH INTERNATIONAL CONFERENCE ON OPERATIONS RESEARCH AND ENTERPRISE SYSTEMS (ICORES)</t>
  </si>
  <si>
    <t>10th International Conference on Operations Research and Enterprise Systems (ICORES)</t>
  </si>
  <si>
    <t>FEB 04-06, 2021</t>
  </si>
  <si>
    <t>ELECTR NETWORK</t>
  </si>
  <si>
    <t>Obesity is one of the most important risk factors for non-communicable diseases. Nutritional status is generally measured by the body mass index (BMI) and its estimation is especially relevant to analyse long-term trends of overweight and obesity at the population level. Nevertheless, in most context nationally representative data on BMI is scarce and the probability of individuals to progress to obese status is not observed longitudinally. In the literature, several authors have addressed the problem to obtain this estimation using mathematical/computational models under a scenario where the parameters and transition probabilities between nutritional states are possible to compute from regular official data. In contrast, the developing countries exhibit poor data quality and then, the approaches provided from the literature could not be extended to them. In this paper, we deal with the problem of estimating nutritional status transition probabilities in settings with scarce data such as most developing countries, formulating a non-linear programming (NLP) model for a disaggregated characterization of population assuming the transition probabilities depend on sex and age. In particular, we study the case of Chile, one of the countries with the highest prevalence of malnutrition in Latin America, using three available National Health Surveys between the years 2003 and 2017. The obtained results show a total absolute error equal to 5.11% and 10.27% for sex male and female, respectively. Finally, other model applications and extensions are discussed and future works are proposed.</t>
  </si>
  <si>
    <t>Dunstan, Jocelyn/L-4000-2018; Cuadrado, Cristobal/Q-3705-2019; Cuadrado, Cristobal/J-2572-2014</t>
  </si>
  <si>
    <t>Vasquez, Oscar C./0000-0002-1393-4692; Cuadrado, Cristobal/0000-0002-0174-5958</t>
  </si>
  <si>
    <t>978-989-758-485-5</t>
  </si>
  <si>
    <t>10.5220/0010262404080415</t>
  </si>
  <si>
    <t>WOS:000662833600046</t>
  </si>
  <si>
    <t>Rojas-Nunez, J; Baltazar, SE; Gonzalez, RI; Bringa, EM; Allende, S; Kiwi, M; Valencia, FJ</t>
  </si>
  <si>
    <t>Rojas-Nunez, J.; Baltazar, S. E.; Gonzalez, R. I.; Bringa, E. M.; Allende, S.; Kiwi, M.; Valencia, F. J.</t>
  </si>
  <si>
    <t>Polycrystalline Ni nanotubes under compression: a molecular dynamics study</t>
  </si>
  <si>
    <t>SCIENTIFIC REPORTS</t>
  </si>
  <si>
    <t>Mechanical properties of nanomaterials, such as nanowires and nanotubes, are an important feature for the design of novel electromechanical nano-architectures. Since grain boundary structures and surface modifications can be used as a route to modify nanostructured materials, it is of interest to understand how they affect material strength and plasticity. We report large-scale atomistic simulations to determine the mechanical response of nickel nanowires and nanotubes subject to uniaxial compression. Our results suggest that the incorporation of nanocrystalline structure allows completely flexible deformation, in sharp contrast with single crystals. While crystalline structures at high compression are dominated by dislocation pinning and the multiplication of highly localized shear regions, in nanocrystalline systems the dislocation distribution is significantly more homogeneous. Therefore, for large compressions (large strains) coiling instead of bulging is the dominant deformation mode. Additionally, it is observed that nanotubes with only 70% of the nanowire mass but of the same diameter, exhibit similar mechanical behavior up to 0.3 strain. Our results are useful for the design of new flexible and light-weight metamaterials, when highly deformable struts are required.</t>
  </si>
  <si>
    <t>Bringa, Eduardo/F-8918-2011; Kiwi, Miguel/D-3401-2013; Valencia, Felipe/D-9223-2015; Baltazar, Samuel/E-1814-2011; Rojas, Javier/JYP-5531-2024; Gonzalez, Rafael I./I-8560-2015</t>
  </si>
  <si>
    <t>Gonzalez, Rafael I./0000-0003-2599-8404; Rojas-Nunez, Javier/0000-0002-2343-3533; Baltazar, Samuel/0000-0001-9826-9400</t>
  </si>
  <si>
    <t>2045-2322</t>
  </si>
  <si>
    <t>DEC 3</t>
  </si>
  <si>
    <t>10.1038/s41598-020-76276-y</t>
  </si>
  <si>
    <t>WOS:000615394300096</t>
  </si>
  <si>
    <t>Salazar, M; Lagos, C; Carrasco, R; Banguera, L; Durán, C; Gutiaérrez, S</t>
  </si>
  <si>
    <t>IEEE</t>
  </si>
  <si>
    <t>Salazar, Martin; Lagos, Carolina; Carrasco, Raul; Banguera, Leonardo; Duran, Claudia; Gutiaerrez, Sebastian</t>
  </si>
  <si>
    <t>Environmental problems and use of the Clean Production Agreement for their mitigation</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</si>
  <si>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</si>
  <si>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</si>
  <si>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</si>
  <si>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</si>
  <si>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</si>
  <si>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This work makes an analysis of the negative environmental impact at a global and local level, generated by the commercial and industrial activities and the society. Besides, the research addresses existing environmental problems and the efforts made by Chile, with the implementation of the Clean Production Agreement in the enterprises. It stands the case of The Olive Oil Producer Association and how its behavior has presented a significant decrease in the level of water and energetic resources consumption, emissions and wastes generated by the industry, with the application of the Clean Production Agreement.</t>
  </si>
  <si>
    <t>Duran, Claudia/S-1175-2019; Carrasco, Raul/G-5440-2015</t>
  </si>
  <si>
    <t>Carrasco, Raul/0000-0002-5023-9349; Duran, Claudia/0000-0002-0903-4333; Gutierrez Lillo, Sebastian/0000-0003-3714-0632</t>
  </si>
  <si>
    <t>978-1-7281-3185-6</t>
  </si>
  <si>
    <t>10.1109/chilecon47746.2019.8988025</t>
  </si>
  <si>
    <t>WOS:000542919100128</t>
  </si>
  <si>
    <t>Villalobos, V; Leiva, A; Ríos, HE; Pavez, J; Silva, CP; Ahmar, M; Queneau, Y; Blamey, JM; Chávez, FP; Urzúa, MD</t>
  </si>
  <si>
    <t>Villalobos, Valeria; Leiva, Angel; Rios, Hernan E.; Pavez, Jorge; Silva, Carlos P.; Ahmar, Mohammed; Queneau, Yves; Blamey, J. M.; Chavez, Francisco P.; Urzua, Marcela D.</t>
  </si>
  <si>
    <t>Inhibiting Pathogen Surface Adherence by Multilayer Polyelectrolyte Films Functionalized with Glucofuranose Derivatives</t>
  </si>
  <si>
    <t>Inhibiting pathogenic bacterial adherence on surfaces is an ongoing challenge to prevent the development of biofilms. Multilayer polyelectrolyte films are feasible antibacterial materials. Here, we have designed new films made of carbohydrate polyelectrolytes to obtain antibacterial coatings that prevent biofilm formation. The polyelectrolyte films were constructed from poly(maleic anhydride-alt-styrene) functionalized with glucofuranose derivatives and quaternized poly(4-vinylpyridine) N-alkyl. These films prevent Pseudomonas aeruginosa and Salmonella Typhimurium, two important bacterial contaminants in clinical environments, from adhering to surfaces. When the film was composed of more than 10 layers, the bacterial population was greatly reduced, while the bacteria remaining on the film were morphologically damaged, as atomic force microscopy revealed. The antibacterial capacity of the polyelectrolyte films was determined by the combination of thickness, wettability, surface energy, and most importantly, the conformation that polyelectrolytes adopt the function of nature of the carbohydrate group. This polyelectrolyte film constitutes the first green approach to preventing pathogenic bacterial surface adherence and proliferation without killing the bacterial pathogen.</t>
  </si>
  <si>
    <t>Urzúa, Marcela/E-1429-2014; Silva, Carlos/IQS-5583-2023; Queneau, Yves/HLX-0773-2023; Blamey, Jenny/M-2637-2014; Villalobos, Valeria/JVN-0056-2024; Chavez, Francisco/G-6264-2010; PAVEZ, JORGE/K-6904-2014</t>
  </si>
  <si>
    <t>Urzua Acevedo, Marcela Del Pilar/0000-0002-2371-620X; Chavez, Francisco/0000-0002-6838-208X; PAVEZ, JORGE/0000-0002-5100-6707; Silva, Carlos P./0000-0001-5344-042X; Leiva-Campusano, Angel Rodrigo/0000-0003-3744-1945; Queneau, Yves/0000-0003-4052-061X; /0000-0002-1894-2384</t>
  </si>
  <si>
    <t>AUG 22</t>
  </si>
  <si>
    <t>10.1021/acsami.8b03605</t>
  </si>
  <si>
    <t>WOS:000442706600064</t>
  </si>
  <si>
    <t>Rosas-Arellano, A; Estrada-Mondragón, A; Piña, R; Mantellero, CA; Castro, MA</t>
  </si>
  <si>
    <t>Rosas-Arellano, Abraham; Estrada-Mondragon, Argel; Pina, Ricardo; Mantellero, Carola A.; Castro, Maite A.</t>
  </si>
  <si>
    <t>The Tiny Drosophila Melanogaster for the Biggest Answers in Huntington's Disease</t>
  </si>
  <si>
    <t>INTERNATIONAL JOURNAL OF MOLECULAR SCIENCES</t>
  </si>
  <si>
    <t>The average life expectancy for humans has increased over the last years. However, the quality of the later stages of life is low and is considered a public health issue of global importance. Late adulthood and the transition into the later stage of life occasionally leads to neurodegenerative diseases that selectively affect different types of neurons and brain regions, producing motor dysfunctions, cognitive impairment, and psychiatric disorders that are progressive, irreversible, without remission periods, and incurable. Huntington's disease (HD) is a common neurodegenerative disorder. In the 25 years since the mutation of the huntingtin (HTT) gene was identified as the molecule responsible for this neural disorder, a variety of animal models, including the fruit fly, have been used to study the disease. Here, we review recent research that used Drosophila as an experimental tool for improving knowledge about the molecular and cellular mechanisms underpinning HD.</t>
  </si>
  <si>
    <t>ROSAS-ARELLANO, ABRAHAM/AAJ-3873-2020; Muñoz, Ricardo/AAO-5249-2020</t>
  </si>
  <si>
    <t>Estrada, Argel/0000-0002-1359-4659; Pina, Ricardo/0000-0002-2316-8952; ROSAS-ARELLANO, ABRAHAM/0000-0003-1422-9538</t>
  </si>
  <si>
    <t>1422-0067</t>
  </si>
  <si>
    <t>10.3390/ijms19082398</t>
  </si>
  <si>
    <t>WOS:000442869800250</t>
  </si>
  <si>
    <t>Badilla, PV; Cumillaf, AG; Spuler, JO; Aravena, DD; Garrido, NC; Muñoz, LS; Valenzuela, TH; Fuenzalida, AL; Vitoria, RV; Agüero, SD</t>
  </si>
  <si>
    <t>Valdes Badilla, Pablo; Godoy Cumillaf, Andres; Ortega Spuler, Jenny; Diaz Aravena, Daniela; Castro Garrido, Nibaldo; Sandoval Munoz, Luis; Herrera Valenzuela, Tomas; Lopez Fuenzalida, Antonio; Vargas Vitoria, Rodrigo; Duran Aguero, Samuel</t>
  </si>
  <si>
    <t>Relationship between anthropometric health indexes with food consumption in physically active elderly</t>
  </si>
  <si>
    <t>NUTRICION HOSPITALARIA</t>
  </si>
  <si>
    <t>Introduction: Programs focused on active aging do not always have actions to guide the elderly about healthy eating. Therefore, the concordance between the feeding habits and the morphological characteristics of this population group is little known. Objective: To correlate the anthropometric health indexes with the frequency of food consumption in physically active elderly (PAE). Methods: The sample consisted of 307 physically active Chilean elders of both sexes (8.4% males), with a mean age of 70.2 years. The studied variables corresponded to nutritional status, abdominal adiposity, cardiovascular risk and frequency of food consumption. A logistic regression model was applied, considering alpha &lt; 0.05. Results: Fruit intake (OR = 0.12; 95% CI, 0.02-0.92) and water consumption (OR = 0.20; CI 95%, 0.04-0.90) are shown as protective factors for obesity; on the other hand, alcohol consumption (OR = 4.19; 95% CI, 1.03-17.02) and sweet snacks (OR = 10.68; 95% Cl, 1.85-61.74) are presented as risk factors for obesity. In addition, vegetable intake (OR = 0.32; 95% CI, 0.11-0.92) was associated as a protective factor against abdominal adiposity and sweet snack consumption (OR = 6.45; 95% Cl, 1.08-38.43) as a factor to present cardiovascular risk. Conclusion: The PAE that are more frequent in the consumption of healthy foods also show better nutritional status, abdominal adiposity and lower cardiovascular risk than active Chilean elderly who exhibit less healthy eating behaviors.</t>
  </si>
  <si>
    <t>Agüero, Samuel/AAZ-6140-2020; HERRERA, TOMAS/AAH-3739-2019; Vargas, Rodrigo/ACM-8728-2022</t>
  </si>
  <si>
    <t>Valdes-Badilla, Pablo/0000-0002-3948-8280</t>
  </si>
  <si>
    <t>0212-1611</t>
  </si>
  <si>
    <t>1699-5198</t>
  </si>
  <si>
    <t>SEP-OCT</t>
  </si>
  <si>
    <t>10.20960/nh.1012</t>
  </si>
  <si>
    <t>WOS:000415276500009</t>
  </si>
  <si>
    <t>Cornejo, S; Guzmán, A; Valencia, A; Rodríguez, J; Finol, E</t>
  </si>
  <si>
    <t>Cornejo, Sergio; Guzman, Amador; Valencia, Alvaro; Rodriguez, Jose; Finol, Ender</t>
  </si>
  <si>
    <t>Flow-induced wall mechanics of patient-specific aneurysmal cerebral arteries: Nonlinear isotropic versus anisotropic wall stress</t>
  </si>
  <si>
    <t>PROCEEDINGS OF THE INSTITUTION OF MECHANICAL ENGINEERS PART H-JOURNAL OF ENGINEERING IN MEDICINE</t>
  </si>
  <si>
    <t>Fluid-structure interaction simulations of three patient-specific models of cerebral aneurysms were carried out with the objective of quantifying the effects of non-Newtonian blood flow and the vessel mechanical behavior on the time-dependent fluid shear and normal stresses, and structural stress and stretch. The average wall shear stress at peak systole was found to be approximately one order of magnitude smaller than the shear stresses in the proximal communicating arteries, regardless of the shape or size of the aneurysms. Spatial distributions of oscillatory shear index were consistent with the reciprocal of wall shear stress distributions at peak systole for all aneurysm geometries, demonstrating that oscillatory shear index correlates inversely with wall shear at this time point in the cardiac cycle. An aneurysm wall modeled with an isotropic material resulted in an underestimation of both the maximum principal stress and stretch, compared to the anisotropic material model. For the three aneurysm geometries, anisotropic peak wall stresses were approximately 50% higher than for an isotropic material. Regardless of the constitutive material, the maximum stresses were consistently located at the aneurysm neck; stresses in the dome were 30% of those in the neck.</t>
  </si>
  <si>
    <t>Finol, Ender/C-4585-2016; Guzman, Amador/F-9260-2013; Valencia, Alvaro/H-3754-2013; /H-4589-2011</t>
  </si>
  <si>
    <t>/0000-0001-7612-266X; valencia, alvaro/0000-0002-3644-3167</t>
  </si>
  <si>
    <t>0954-4119</t>
  </si>
  <si>
    <t>2041-3033</t>
  </si>
  <si>
    <t>10.1177/0954411913512283</t>
  </si>
  <si>
    <t>WOS:000329314100005</t>
  </si>
  <si>
    <t>Lavín, R; Denardin, JC; Cortés, A; Gómez, H; Cornejo, M; González, G</t>
  </si>
  <si>
    <t>Lavin, Roberto; Denardin, Juliano C.; Cortes, Andrea; Gomez, Humberto; Cornejo, Manuel; Gonzalez, Guillermo</t>
  </si>
  <si>
    <t>Magnetic Properties of Cobalt Nanowire Arrays</t>
  </si>
  <si>
    <t>MOLECULAR CRYSTALS AND LIQUID CRYSTALS</t>
  </si>
  <si>
    <t>10th International Conference on Frontiers of Polymers and Advanced Materials</t>
  </si>
  <si>
    <t>SEP 28-OCT 02, 2009</t>
  </si>
  <si>
    <t>Santiago, CHILE</t>
  </si>
  <si>
    <t>Arrays of Co nanowires with different lengths and diameters have been prepared by electrodeposition into nanopores of alumina and polycarbonate membranes. The dependence of the coercivity and remanence of the arrays as a function of the length, the electrodeposition potential, and the electrolytic bath pH of the nanowires has been experimentally investigated through hysteresis curves performed in a VSM (vibrating sample magnetometer) and a SQUID (superconducting quantum interference device).</t>
  </si>
  <si>
    <t>Denardin, Juliano/S-6407-2019; Gonzalez, Guillermo/HMV-7330-2023</t>
  </si>
  <si>
    <t>Denardin, Juliano/0000-0002-1373-6207; Gomez Meier, Carlos Humberto/0000-0002-9659-4215</t>
  </si>
  <si>
    <t>1542-1406</t>
  </si>
  <si>
    <t>1563-5287</t>
  </si>
  <si>
    <t>10.1080/15421401003716155</t>
  </si>
  <si>
    <t>WOS:000278163100028</t>
  </si>
  <si>
    <t>Elshorbany, YF; Kurtenbach, R; Wiesen, P; Lissi, E; Rubio, M; Villena, G; Gramsch, E; Rickard, AR; Pilling, MJ; Kleffmann, J</t>
  </si>
  <si>
    <t>Elshorbany, Y. F.; Kurtenbach, R.; Wiesen, P.; Lissi, E.; Rubio, M.; Villena, G.; Gramsch, E.; Rickard, A. R.; Pilling, M. J.; Kleffmann, J.</t>
  </si>
  <si>
    <t>Oxidation capacity of the city air of Santiago, Chile</t>
  </si>
  <si>
    <t>ATMOSPHERIC CHEMISTRY AND PHYSICS</t>
  </si>
  <si>
    <t>The oxidation capacity of the highly polluted urban area of Santiago, Chile has been evaluated during a summer measurement campaign carried out from 8-20 March 2005. The hydroxyl (OH) radical budget was evaluated employing a simple quasi-photostationary-state model (PSS) constrained with simultaneous measurements of HONO, HCHO, O-3, NO, NO2, j((OD)-D-1), j(NO2), 13 alkenes and meteorological parameters. In addition, a zero dimensional photochemical box model based on the Master Chemical Mechanism (MCMv3.1) has been used to estimate production rates and total free radical budgets, including OH, HO2 and RO2. Besides the above parameters, the MCM model has been constrained by the measured CO and volatile organic compounds (VOCs) including alkanes and aromatics. Both models simulate the same OH concentration during daytime indicating that the primary OH sources and sinks included in the simple PSS model predominate. Mixing ratios of the main OH radical precursors were found to be in the range 0.8-7 ppbv (HONO), 0.9-11 ppbv (HCHO) and 0-125 ppbv (O-3). The alkenes average mixing ratio was similar to 58 ppbC accounting for similar to 12% of the total identified non-methane hydrocarbons (NMHCs). During the daytime (08:00 h-19:00 h), HONO photolysis was shown to be the most important primary OH radical source comprising alone similar to 55% of the total initial production rate, followed by alkene ozonolysis (similar to 24%) and photolysis of HCHO (similar to 16%) and O-3 (similar to 5%). The calculated average and maximum daytime OH production rates from HONO photolysis was 1.7 ppbv h-(1) and 3.1 ppbv h(-1), respectively. Based on the experimental results a strong photochemical daytime source of HONO is proposed. A detailed analysis of the sources of OH radical precursors has also been carried out.</t>
  </si>
  <si>
    <t>Elshorbany, Yasin/N-1050-2019; Bajo, Maria/ABF-6991-2020; Elshorbany, Yasin/B-3661-2008; Gramsch, Ernesto/M-5507-2017</t>
  </si>
  <si>
    <t>Elshorbany, Yasin/0000-0001-8883-3522; Gramsch, Ernesto/0000-0002-6787-7355; Rickard, Andrew/0000-0003-2203-3471; Villena, Guillermo/0000-0002-1867-1879</t>
  </si>
  <si>
    <t>1680-7316</t>
  </si>
  <si>
    <t>1680-7324</t>
  </si>
  <si>
    <t>10.5194/acp-9-2257-2009</t>
  </si>
  <si>
    <t>WOS:000264625400030</t>
  </si>
  <si>
    <t>Calderón, IL; Arenas, FA; Pérez, JM; Fuentes, DE; Araya, MA; Saavedra, CP; Tantaleán, JC; Pichuantes, SE; Youderian, PA; Vásquez, CC</t>
  </si>
  <si>
    <t>Calderon, Ivan L.; Arenas, Felipe A.; Perez, Jose Manuel; Fuentes, Derie E.; Araya, Manuel A.; Saavedra, Claudia P.; Tantalean, Juan C.; Pichuantes, Sergio E.; Youderian, Philip A.; Vasquez, Claudio C.</t>
  </si>
  <si>
    <t>Catalases Are NAD(P)H-Dependent Tellurite Reductases</t>
  </si>
  <si>
    <t>Reactive oxygen species damage intracellular targets and are implicated in cancer, genetic disease, mutagenesis, and aging. Catalases are among the key enzymatic defenses against one of the most physiologically abundant reactive oxygen species, hydrogen peroxide. The well-studied, heme-dependent catalases accelerate the rate of the dismutation of peroxide to molecular oxygen and water with near kinetic perfection. Many catalases also bind the cofactors NADPH and NADH tenaciously, but, surprisingly, NAD(P)H is not required for their dismutase activity. Although NAD(P)H protects bovine catalase against oxidative damage by its peroxide substrate, the catalytic role of the nicotinamide cofactor in the function of this enzyme has remained a biochemical mystery to date. Anions formed by heavy metal oxides are among the most highly reactive, natural oxidizing agents. Here, we show that a natural isolate of Staphylococcus epidermidis resistant to tellurite detoxifies this anion thanks to a novel activity of its catalase, and that a subset of both bacterial and mammalian catalases carry out the NAD(P)H-dependent reduction of soluble tellurite ion (TeO32-) to the less toxic, insoluble metal, tellurium (Te degrees), in vitro. An Escherichia coli mutant defective in the KatG catalase/peroxidase is sensitive to tellurite, and expression of the S. epidermidis catalase gene in a heterologous E. coli host confers increased resistance to tellurite as well as to hydrogen peroxide in vivo, arguing that S. epidermidis catalase provides a physiological line of defense against both of these strong oxidizing agents. Kinetic studies reveal that bovine catalase reduces tellurite with a low Michaelis-Menten constant, a result suggesting that tellurite is among the natural substrates of this enzyme. The reduction of tellurite by bovine catalase occurs at the expense of producing the highly reactive superoxide radical.</t>
  </si>
  <si>
    <t>Fuentes, Derie/GLS-8773-2022; Calderón, Iván/HJP-5156-2023; Perez-Donoso, Jose/G-3668-2013</t>
  </si>
  <si>
    <t>Fuentes, Derie/0000-0002-8189-8515; TANTALEAN, JUAN/0000-0002-9541-7102; Perez-Donoso, Jose/0000-0002-9506-1716</t>
  </si>
  <si>
    <t>DEC 20</t>
  </si>
  <si>
    <t>e70</t>
  </si>
  <si>
    <t>10.1371/journal.pone.0000070</t>
  </si>
  <si>
    <t>WOS:000207443600070</t>
  </si>
  <si>
    <t>Romo-Kröger, CM; Cornejo-Ponce, L; Morales, JR; Dinator, MI; Avila, MJ; Poblete, VH; Galvez, J; Goldschmidt, A; Trier, A; Valdes, J; Rojas, CM; Cantillano, ME; Vera, R; Figueroa, R; Garcia, M</t>
  </si>
  <si>
    <t>An overview of x-ray spectrometry at research centers in Chile</t>
  </si>
  <si>
    <t>X-RAY SPECTROMETRY</t>
  </si>
  <si>
    <t>7th Latin American Seminar on Analysis by X-ray Techniques (SARX 2000)</t>
  </si>
  <si>
    <t>NOV 19-24, 2000</t>
  </si>
  <si>
    <t>SAO PAULO, BRAZIL</t>
  </si>
  <si>
    <t>Different procedures have been used to develop x-ray fluorescence spectroscopy in Chile. In this paper we describe those groups doing basic or applied scientific research, mainly associated with units at universities and research centers. The techniques are PIXE, common XRF, XRF excited with gamma sources, x-ray emission from an electron microprobe and the total reflection technique. Historical aspects and experimental features are mentioned. Theoretical and methodological projects are also described. Finally, the wide field of applications of XRF in Chile is presented. Copyright (C) 2002 John Wiley Sons, Ltd.</t>
  </si>
  <si>
    <t>Valdes, Jorge/IYJ-2578-2023; Gutiérrez, Maria Jesús/GLV-6233-2022; Mondaca, Carlos/AAS-3960-2021</t>
  </si>
  <si>
    <t>Cornejo Ponce, Lorena/0000-0001-7518-0358; Valdes Leyton, Jorge Eduardo/0000-0001-5465-7567; Figueroa, Rodolfo/0000-0002-9288-2527</t>
  </si>
  <si>
    <t>0049-8246</t>
  </si>
  <si>
    <t>MAR-APR</t>
  </si>
  <si>
    <t>10.1002/xrs.558</t>
  </si>
  <si>
    <t>WOS:000174640700005</t>
  </si>
  <si>
    <t>González-Henríquez, CM; Rodríguez-Umanzor, FE; Acuña-Ruiz, NF; Vera-Rojas, GE; Terraza-Inostroza, C; Cohn-Inostroza, NA; Utrera, A; Sarabia-Vallejos, MA; Rodríguez-Hernández, J</t>
  </si>
  <si>
    <t>Gonzalez-Henriquez, Carmen M.; Rodriguez-Umanzor, Fernando E.; Acuna-Ruiz, Nicolas F.; Vera-Rojas, Gloria E.; Terraza-Inostroza, Claudio; Cohn-Inostroza, Nicolas A.; Utrera, Andres; Sarabia-Vallejos, Mauricio A.; Rodriguez-Hernandez, Juan</t>
  </si>
  <si>
    <t>Fabrication and Testing of Multi-Hierarchical Porous Scaffolds Designed for Bone Regeneration via Additive Manufacturing Processes</t>
  </si>
  <si>
    <t>POLYMERS</t>
  </si>
  <si>
    <t>Bone implants or replacements are very scarce due to the low donor availability and the high rate of body rejection. For this reason, tissue engineering strategies have been developed as alternative solutions to this problem. This research sought to create a cellular scaffold with an intricate and complex network of interconnected pores and microchannels using salt leaching and additive manufacturing (3D printing) methods that mimic the hierarchical internal structure of the bone. A biocompatible hydrogel film (based on poly-ethylene glycol) was used to cover the surface of different polymeric scaffolds. This thin film was then exposed to various stimuli to spontaneously form wrinkled micropatterns, with the aim of increasing the contact area and the material's biocompatibility. The main innovation of this study was to include these wrinkled micropatterns on the surface of the scaffold by taking advantage of thin polymer film surface instabilities. On the other hand, salt and nano-hydroxyapatite (nHA) particles were included in the polymeric matrix to create a modified filament for 3D printing. The printed part was leached to eliminate porogen particles, leaving homogenously distributed pores on the structure. The pores have a mean size of 26.4 +/- 9.9 mu m, resulting in a global scaffold porosity of similar to 42% (including pores and microchannels). The presence of nHA particles, which display a homogeneous distribution according to the FE-SEM and EDX results, have a slight influence on the mechanical resistance of the material, but incredibly, despite being a bioactive compound for bone cells, did not show a significant increase in cell viability on the scaffold surface. However, the synergistic effect between the presence of the hydrogel and the pores on the material does produce an increase in cell viability compared to the control sample and the bare PCL material.</t>
  </si>
  <si>
    <t>Cohn, Nicolas/MCY-4005-2025; Sarabia-Vallejos, Mauricio/AAY-2890-2020</t>
  </si>
  <si>
    <t>Cohn Inostroza, Nicolas/0000-0002-8701-7037; Vera-Rojas, Gloria/0009-0009-6680-6369; Terraza, Claudio/0000-0002-6326-8771; Sarabia-Vallejos, Mauricio A./0000-0001-5128-796X; Gonzalez Henriquez, Carmen/0000-0001-9058-5425; Rodriguez Umanzor, Fernando Esteban/0000-0002-7036-4665</t>
  </si>
  <si>
    <t>2073-4360</t>
  </si>
  <si>
    <t>10.3390/polym14194041</t>
  </si>
  <si>
    <t>WOS:000867182200001</t>
  </si>
  <si>
    <t>Pérez-Fehrmann, M; Kesternich, V; Puelles, A; Quezada, V; Salazar, F; Christen, P; Castillo, J; Cárcamo, JG; Castro-Alvarez, A; Nelson, R</t>
  </si>
  <si>
    <t>Perez-Fehrmann, Marcia; Kesternich, Victor; Puelles, Arturo; Quezada, Victor; Salazar, Fernanda; Christen, Philippe; Castillo, Jonathan; Carcamo, Juan Guillermo; Castro-Alvarez, Alejandro; Nelson, Ronald</t>
  </si>
  <si>
    <t>Synthesis, antitumor activity, 3D-QSAR and molecular docking studies of new iodinated 4-(3H)-quinazolinones 3N-substituted</t>
  </si>
  <si>
    <t>RSC ADVANCES</t>
  </si>
  <si>
    <t>A novel series of 6-iodo-2-methylquinazolin-4-(3H)-one derivatives, 3a-n, were synthesized and evaluated for their in vitro cytotoxic activity. Compounds 3a, 3b, 3d, 3e, and 3h showed remarkable cytotoxic activity on specific human cancer cell lines when compared to the anti-cancer drug, paclitaxel. Compound 3a was found to be particularly effective on promyelocytic leukaemia HL60 and non-Hodgkin lymphoma U937, with IC50 values of 21 and 30 mu M, respectively. Compound 3d showed significant activity against cervical cancer HeLa (IC50 = 10 mu M). The compounds 3e and 3h were strongly active against glioblastoma multiform tumour T98G, with IC50 values of 12 and 22 mu M, respectively. These five compounds showed an interesting cytotoxic activity on four human cancer cell types of high incidence. The molecular docking results reveal a good correlation between experimental activity and calculated binding affinity on dihydrofolate reductase (DHFR). Docking studies proved 3d as the most potent compound. In addition, the three-dimensional quantitative structure-activity relationship (3D-QSAR) analysis exhibited activities that may indicate the existence of electron-withdrawing and lipophilic groups at the para-position of the phenyl ring and hydrophobic interactions of the quinazolinic ring in the DHFR active site.</t>
  </si>
  <si>
    <t>Nelson, Ronald/GQZ-4386-2022; Castro, Alejandro/HSH-9849-2023; Quezada, Victor/GRR-4027-2022; Salazar, Fernanda/GLQ-9064-2022; Carcamo, Juan Guillermo/JVO-7086-2024; Kesternich, Victor/T-8352-2017</t>
  </si>
  <si>
    <t>Nelson, Ronald/0000-0001-7449-6334; Quezada, Victor/0000-0003-1876-2268; Carcamo, Juan Guillermo/0000-0002-2595-4375; Kesternich, Victor/0000-0001-7455-547X; Castro-Alvarez, Alejandro/0000-0001-8360-8027</t>
  </si>
  <si>
    <t>2046-2069</t>
  </si>
  <si>
    <t>JUL 21</t>
  </si>
  <si>
    <t>10.1039/d2ra03684c</t>
  </si>
  <si>
    <t>WOS:000834799600001</t>
  </si>
  <si>
    <t>Duch, R; Asiedu, E; Nakamura, R; Rouyard, T; Yevenes, C; Roope, L; Violato, M; Clarke, P</t>
  </si>
  <si>
    <t>Duch, Raymond; Asiedu, Edward; Nakamura, Ryota; Rouyard, Thomas; Yevenes, Carlos; Roope, Laurence; Violato, Mara; Clarke, Philip</t>
  </si>
  <si>
    <t>A randomized controlled trial to test financial incentives for COVID-19 vaccination in Ghana</t>
  </si>
  <si>
    <t>NATURE MEDICINE</t>
  </si>
  <si>
    <t>Rouyard, Thomas/ABS-7744-2022</t>
  </si>
  <si>
    <t>Nakamura, Ryota/0000-0002-3217-6452; Violato, Mara/0000-0002-0484-7706; Roope, Laurence/0000-0001-9098-9331; Clarke, Philip/0000-0002-7555-5348; Duch, Raymond/0000-0002-1166-7674; Asiedu, Edward/0000-0003-0840-9233</t>
  </si>
  <si>
    <t>1078-8956</t>
  </si>
  <si>
    <t>1546-170X</t>
  </si>
  <si>
    <t>10.1038/s41591-022-01876-2</t>
  </si>
  <si>
    <t>JUN 2022</t>
  </si>
  <si>
    <t>WOS:000811980700005</t>
  </si>
  <si>
    <t>Echeverria, F; Patino, PAJ; Castro-Sepulveda, M; Bustamante, A; Concha, PAG; Poblete-Aro, C; Valenzuela, R; Garcia-Diaz, DF</t>
  </si>
  <si>
    <t>Echeverria, Francisca; Jimenez Patino, Paula Andrea; Castro-Sepulveda, Mauricio; Bustamante, Andres; Garcia Concha, Paula Andrea; Poblete-Aro, Carlos; Valenzuela, Rodrigo; Garcia-Diaz, Diego F.</t>
  </si>
  <si>
    <t>Microencapsulated pomegranate peel extract induces mitochondrial complex IV activity and prevents mitochondrial cristae alteration in brown adipose tissue in mice fed on a high-fat diet</t>
  </si>
  <si>
    <t>BRITISH JOURNAL OF NUTRITION</t>
  </si>
  <si>
    <t>Pomegranate peel is an agro-industrial residue obtained after fruit processing with high total polyphenol (TP) content, making it an attractive by-product for its reuse. Pomegranate peel extract (PPE) and its bioactive compounds have shown positive effects on obesity models. Effects on favouring mitochondrial biogenesis and function have also been described. However, once phenolic compounds are extracted, their stability can be affected by diverse factors. Microencapsulation could improve PPE stability, allowing its incorporation into functional foods. Nevertheless, studies on the potential biological effects of PPE microparticles (MPPE) in obesity models are lacking. This study aims to evaluate the effect of MPPE on brown adipose tissue (BAT) mitochondrial structure and function and metabolic alterations related to obesity in mice fed a high-fat diet (HFD). PPE was microencapsulated by spray drying using inulin (IN) as a wall material and physically-chemically characterised. Eight-week-old male C57BL/6J mice (n 40) were randomly distributed into five groups: control diet (CD), HFD, HFD + IN, HFD + PPE (50 mg/kg per d TP) and HFD + MPPE (50 mg/kg per d TP), for 14 weeks. A glucose tolerance test and indirect calorimetry were conducted. Blood and adipose tissue samples were obtained. MPPE supplementation prevented HFD-induced body weight gain (P &lt; 0.001), fasting glycaemia (P = 0.007) and total cholesterol rise (P = 0.001). MPPE resulted in higher BAT mitochondrial complex IV activity (P = 0.03) and prevented HFD-induced mitochondrial cristae alteration (P = 0.02). In conclusion, MPPE prevented HFD-induced excessive body weight gain and associated metabolic disturbances, potentially by activating complex IV activity and preserving mitochondrial cristae structure in BAT in mice fed with a HFD.</t>
  </si>
  <si>
    <t>Poblete, Carlos/HOF-8260-2023; Echeverría, Francisca/ISV-5437-2023; Garcia, Diego/AGH-4056-2022; Bustamante, Andres/IZP-8336-2023; GARCIA, PAULA/H-3149-2018; Echeverria, Francisca/M-3207-2018; Bustamante, Andres/P-6371-2017</t>
  </si>
  <si>
    <t>Poblete-Aro, Carlos/0000-0001-9554-3996; Echeverria, Francisca/0000-0002-9661-0377; Bustamante, Andres/0000-0003-4843-2382; Castro-Sepulveda, Mauricio/0000-0002-2270-299X; Garcia-Diaz, Diego/0000-0002-7551-0553</t>
  </si>
  <si>
    <t>0007-1145</t>
  </si>
  <si>
    <t>1475-2662</t>
  </si>
  <si>
    <t>SEP 28</t>
  </si>
  <si>
    <t>PII S000711452000481X</t>
  </si>
  <si>
    <t>10.1017/S000711452000481X</t>
  </si>
  <si>
    <t>WOS:000683029100005</t>
  </si>
  <si>
    <t>Cox, CJ; Walden, VP; Rowe, PM; Shupe, MD</t>
  </si>
  <si>
    <t>Cox, Christopher J.; Walden, Von P.; Rowe, Penny M.; Shupe, Matthew D.</t>
  </si>
  <si>
    <t>Humidity trends imply increased sensitivity to clouds in a warming Arctic</t>
  </si>
  <si>
    <t>Infrared radiative processes are implicated in Arctic warming and sea-ice decline. The infrared cloud radiative effect (CRE) at the surface is modulated by cloud properties; however, CRE also depends on humidity because clouds emit at wavelengths that are semi-transparent to greenhouse gases, most notably water vapour. Here we show how temperature and humidity control CRE through competing influences between the mid-and far-infrared. At constant relative humidity, CRE does not decrease with increasing temperature/absolute humidity as expected, but rather is found to be approximately constant for temperatures characteristic of the Arctic. This stability is disrupted if relative humidity varies. Our findings explain observed seasonal and regional variability in Arctic CRE of order 10Wm(-2). With the physical properties of Arctic clouds held constant, we calculate recent increases in CRE of 1-5Wm(-2) in autumn and winter, which are projected to reach 5-15Wm(-2) by 2050, implying increased sensitivity of the surface to clouds.</t>
  </si>
  <si>
    <t>COX, CHRISTOPHER/O-4276-2016; SHUPE, MATTHEW/F-8754-2011</t>
  </si>
  <si>
    <t>COX, CHRISTOPHER/0000-0003-2203-7173; SHUPE, MATTHEW/0000-0002-0973-9982</t>
  </si>
  <si>
    <t>10.1038/ncomms10117</t>
  </si>
  <si>
    <t>WOS:000367569900008</t>
  </si>
  <si>
    <t>Kobler, O; Bachmann, A; Wichmann, C; Kittel, R; Sigrist, SJ; Knust, E; Sierralta, J; Gundelfinger, ED</t>
  </si>
  <si>
    <t>Kobler, Oliver; Bachmann, Andre; Wichmann, Carolin; Kittel, Robert; Sigrist, Stephan J.; Knust, Elisabeth; Sierralta, Jimena; Gundelfinger, Eckart D.</t>
  </si>
  <si>
    <t>The DlgS97-Metro-DLin-7-scaffold complex is required for scaling and spacing of glutamate receptor fields at larval NMJs</t>
  </si>
  <si>
    <t>JOURNAL OF NEUROGENETICS</t>
  </si>
  <si>
    <t>Sierralta, Jimena/A-7591-2008; Knust, Elisabeth/B-4338-2017</t>
  </si>
  <si>
    <t>0167-7063</t>
  </si>
  <si>
    <t>V28</t>
  </si>
  <si>
    <t>S40</t>
  </si>
  <si>
    <t>S41</t>
  </si>
  <si>
    <t>WOS:000263555500119</t>
  </si>
  <si>
    <t>Moya, SA; Gajardo, J; Araya, JC; Cornejo, JJ; Guerchais, V; Le Bozec, H; Bayon, JC; Pardey, AJ; Aguirre, P</t>
  </si>
  <si>
    <t>Moya, Sergio A.; Gajardo, Juana; Araya, Juan C.; Cornejo, Jaime J.; Guerchais, Veronique; Le Bozec, Hubert; Bayon, J. Caries; Pardey, Alvaro J.; Aguirre, Pedro</t>
  </si>
  <si>
    <t>Synthesis and characterization of new complexes of the type [Ru(CO)2Cl2 (2-phenyl-1,8-naphthyridine-kN) (2-phenyl-1,8-naphthyridine-kN′)].: Preliminary applications in homogeneous catalysis</t>
  </si>
  <si>
    <t>APPLIED ORGANOMETALLIC CHEMISTRY</t>
  </si>
  <si>
    <t>Novel ruthenium (II) complexes were prepared containing 2-phenyl-1,8-naphthyridine derivatives. The coordination modes of these ligands were modified by addition of coordinating solvents such as water into the ethanolic reaction media. Under these conditions 1,8-naphthyridine (napy) moieties act as monodentade ligands forming unusual [Ru(CO)(2)Cl-2(eta(1)-2-phenyl-1,8-naphthyridine-kN)(eta(1)-2-phenyl-1,8-naphthyridine-kN ')] complexes. The reaction was reproducible when different 2-phenyl-1,8-naphthyridine derivatives were used. On the other hand, when dry ethanol was used as the solvent we obtained complexes with napy moieties acting as a chelating ligand. The structures proposed for these complexes were supported by NMR spectra, and the presence of two ligands in the [Ru(CO)(2)Cl-2(eta(1)-2-phenyl-1,8-naphthyridine-kN)(eta(1)-2-phenyl-1,8-naphthyridine-kN ')] type complexes was confirmed using elemental analysis. All complexes were tested as catalysts in the hydroformylation of styrene showing moderate activity in N,N '-dimethylformamide. Copyright (C) 2008 John Wiley &amp; Sons, Ltd.</t>
  </si>
  <si>
    <t>; Guerchais, Veronique/D-6471-2017</t>
  </si>
  <si>
    <t>Araya Vargas, Juan Carlos/0000-0001-6421-1534; Guerchais, Veronique/0000-0003-4821-3817</t>
  </si>
  <si>
    <t>0268-2605</t>
  </si>
  <si>
    <t>1099-0739</t>
  </si>
  <si>
    <t>10.1002/aoc.1410</t>
  </si>
  <si>
    <t>WOS:000258053200008</t>
  </si>
  <si>
    <t>Thirabowonkitphithan, P; Maksuk, K; Permpoka, K; Jiraseree-amornkun, A; Wattanapanitch, W; Nilaratanakul, V; Tasca, F; Laiwattanapaisal, W</t>
  </si>
  <si>
    <t>Thirabowonkitphithan, Pannawich; Maksuk, Khanaphot; Permpoka, Khageephun; Jiraseree-amornkun, Amorn; Wattanapanitch, Woradorn; Nilaratanakul, Voraphoj; Tasca, Federico; Laiwattanapaisal, Wanida</t>
  </si>
  <si>
    <t>A flexible non-enzymatic hydrogel-assisted electrochemical sensor: Wireless, sensitive, and selective uric acid detection for home monitoring</t>
  </si>
  <si>
    <t>MICROCHEMICAL JOURNAL</t>
  </si>
  <si>
    <t>A smartphone-enabled, wireless, and battery-free electrochemical sensor equipped with electroactive poly (3,4ethylenedioxythiophene):poly(styrenesulfonate)/polyvinyl alcohol (PEDOT:PSS/PVA) hydrogel composites, was developed for the non-enzymatic assessment of uric acid (UA) concentrations in human serum and wound exudate. The sensor was constructed with the aid of simple and sustainable modification techniques, such as drop-casting and crosslinking via a green freezing-thawing protocol. Gold nanoparticles (AuNPs) and the PEDOT:PSS/PVA electroactive hydrogel were employed to increase the surface area of the sensor and sample interactions, which improved the sensitivity and specificity for UA detection in the clinical range of 10-1,000 mu M, with a detection limit of 0.05 mg/dL in addition to biocompatibility (L-929 cell viability &gt; 90 %). In human serum and wound exudate samples, the prepared sensor demonstrated a good correlation for UA detection when compared to ISO15189 accredited medical laboratory measurements (Pearson correlation coefficient (r) = 0.97 and r = 0.98, respectively). The UA sensor was integrated with the flexible near field communication (NFC) circuit, and demonstrated the feasibility of measuring UA in human serum and wound exudate with results that were consistent with uricase enzymatic determination (p-value &gt; 0.05). The sensor's wearability was demonstrated by a recovery rate of 101-109 % UA detection when bending on the IV training arm. This NFC UA sensing device can serve as a good alternative platform for self-UA monitoring, along with the potential for developing a smart wound dressing for wound management.</t>
  </si>
  <si>
    <t>Laiwattanapaisal, Wanida/ABV-6465-2022; Tasca, Federico/J-4134-2015</t>
  </si>
  <si>
    <t>Tasca, Federico/0000-0002-4111-4624</t>
  </si>
  <si>
    <t>0026-265X</t>
  </si>
  <si>
    <t>1095-9149</t>
  </si>
  <si>
    <t>10.1016/j.microc.2024.111268</t>
  </si>
  <si>
    <t>AUG 2024</t>
  </si>
  <si>
    <t>WOS:001287376000001</t>
  </si>
  <si>
    <t>Oliveira, JJP; Carneiro, SV; Carvalho, EF; Rodrigues, VSF; Lima, FEH; Matos, WO; Fechine, LMUD; Antunes, RA; Neto, MLA; Campos, ATP; Moura, TA; Cesar, CL; Santos-Oliveira, R; Carvalho, HF; Paschoal, AR; Freire, RM; Carvalho, CJR; Fechine, PBA</t>
  </si>
  <si>
    <t>Oliveira, J. J. P.; Carneiro, S. V.; Carvalho, E. F.; Rodrigues, V. S. F.; Lima, F. E. H.; Matos, W. O.; Fechine, L. M. U. D.; Antunes, R. A.; Neto, M. L. A.; Campos, A. T. P.; Moura, T. A.; Cesar, C. L.; Santos-Oliveira, R.; Carvalho, H. F.; Paschoal, A. R.; Freire, R. M.; Carvalho, C. J. R.; Fechine, P. B. A.</t>
  </si>
  <si>
    <t>Carbon quantum dots with ultra-high quantum yield for versatile turn-on sensor of gluten and cyanide Ions</t>
  </si>
  <si>
    <t>DYES AND PIGMENTS</t>
  </si>
  <si>
    <t>In this work, we reported the synthesis of carbon quantum dots (CQDs) with high fluorescent quantum yield (90.7 %). These nanoparticles were applied in a turn-off/turn-on sensor able to detect cyanide ions. In this sensing strategy, Fe3+ ions were added to the aqueous suspension of CQDs to quench the fluorescence of the system, which was recovered from the presence of cyanide ions. Furthermore, a sensor array was developed using the LDA chemometric tool, to classify different species present in cookie formulations, including gluten. The turnoff/turn-on sensor proved to be sensitive and effective for detecting cyanide ions, with a detection limit of 3.77 ppm. This high sensibility and selectivity allowed quantifying the analyte in a real sample of tap water.</t>
  </si>
  <si>
    <t>Antunes, Renato/K-4738-2015; Carvalho, Hernandes/C-2046-2012; Paschoal, Alexandre/AAX-9814-2021; matos, wladiana/T-9283-2019; Dutra, Lillian/AAD-7774-2022; Carneiro, Samuel/JGD-5616-2023; Fechine, Pierre/B-7937-2013; Moura, Thiago/GQB-5615-2022</t>
  </si>
  <si>
    <t>, Vivian/0000-0002-2126-4772; Alves Neto, Manoel Lourenco/0000-0002-6971-0663</t>
  </si>
  <si>
    <t>0143-7208</t>
  </si>
  <si>
    <t>1873-3743</t>
  </si>
  <si>
    <t>10.1016/j.dyepig.2024.112312</t>
  </si>
  <si>
    <t>JUL 2024</t>
  </si>
  <si>
    <t>WOS:001268337200001</t>
  </si>
  <si>
    <t>Morera, Y; Delgado, N; García-Marco, E; García, AM; de Vega, M; Harris, LT</t>
  </si>
  <si>
    <t>Morera, Yurena; Delgado, Naira; Garcia-Marco, Enrique; Garcia, Adolfo M.; de Vega, Manuel; Harris, Lasana T.</t>
  </si>
  <si>
    <t>How clinical decision tasks modulate emotional related EEG responses in nursing students</t>
  </si>
  <si>
    <t>SOCIAL NEUROSCIENCE</t>
  </si>
  <si>
    <t>Healthcare professionals play a vital role in conveying sensitive information as patients undergo stressful, demanding situations. However, the underlying neurocognitive dynamics in routine clinical tasks remain underexplored, creating gaps in healthcare research and social cognition models. Here, we examined whether the type of clinical task may differentially affect the emotional processing of nursing students in response to the emotional reactions of patients. In a within-subjects design, 40 nursing students read clinical cases prompting them to make procedural decisions or to respond to a patient with a proper communicative decision. Afterward, participants read sentences about patients' emotional states; some semantically consistent and others inconsistent along with filler sentences. EEG recordings toward critical words (emotional stimuli) were used to capture ERP indices of emotional salience (EPN), attentional engagement (LPP) and semantic integration (N400). Results showed that the procedural decision task elicited larger EPN amplitudes, reflecting pre-attentive categorization of emotional stimuli. The communicative decision task elicited larger LPP components associated with later elaborative processing. Additionally, the classical N400 effect elicited by semantically inconsistent sentences was found. The psychophysiological measures were tied by self-report measures indexing the difficulty of the task. These results suggest that the requirements of clinical tasks modulate emotional-related EEG responses.</t>
  </si>
  <si>
    <t>Harris, Lasana/KPA-8428-2024; García Marco, Enrique/ABO-8279-2022; García, Adolfo/E-7150-2017; Delgado, Naira/AAX-5841-2021; Morera, Yurena/ABF-5782-2021; de vega, manuel/F-8222-2011</t>
  </si>
  <si>
    <t>Harris, Lasana/0000-0002-8503-3201; Garcia Marco, Enrique/0000-0002-5796-5124</t>
  </si>
  <si>
    <t>1747-0919</t>
  </si>
  <si>
    <t>1747-0927</t>
  </si>
  <si>
    <t>MAR 3</t>
  </si>
  <si>
    <t>10.1080/17470919.2024.2365172</t>
  </si>
  <si>
    <t>JUN 2024</t>
  </si>
  <si>
    <t>WOS:001249801700001</t>
  </si>
  <si>
    <t>Torres-Maravilla, E; Parra, M; Maisey, K; Vargas, RA; Cabezas-Cruz, A; Gonzalez, A; Tello, M; Bermúdez-Humarán, LG</t>
  </si>
  <si>
    <t>Torres-Maravilla, Edgar; Parra, Mick; Maisey, Kevin; Vargas, Rodrigo A.; Cabezas-Cruz, Alejandro; Gonzalez, Alex; Tello, Mario; Bermudez-Humaran, Luis G.</t>
  </si>
  <si>
    <t>Importance of Probiotics in Fish Aquaculture: Towards the Identification and Design of Novel Probiotics</t>
  </si>
  <si>
    <t>MICROORGANISMS</t>
  </si>
  <si>
    <t>Aquaculture is a growing industry worldwide, but it faces challenges related to animal health. These challenges include infections by parasites, bacteria, and viral pathogens. These harmful pathogens have devastating effects on the industry, despite efforts to control them through vaccination and antimicrobial treatments. Unfortunately, these measures have proven insufficient to address the sanitary problems, resulting in greater environmental impact due to the excessive use of antimicrobials. In recent years, probiotics have emerged as a promising solution to enhance the performance of the immune system against parasitic, bacterial, and viral pathogens in various species, including mammals, birds, and fish. Some probiotics have been genetically engineered to express and deliver immunomodulatory molecules. These promote selective therapeutic effects and specific immunization against specific pathogens. This review aims to summarize recent research on the use of probiotics in fish aquaculture, with a particular emphasis on genetically modified probiotics. In particular, we focus on the advantages of using these microorganisms and highlight the main barriers hindering their widespread application in the aquaculture industry.</t>
  </si>
  <si>
    <t>Tello, Mario/N-4198-2019; González, Alex/GYU-3220-2022; BERMUDEZ, Luis/AAE-8917-2021; Villa, Edgar/KHC-3792-2024; Maisey, Kevin/AAP-2886-2021; Cabezas-Cruz, Alejandro/P-2755-2017</t>
  </si>
  <si>
    <t>Cabezas-Cruz, Alejandro/0000-0002-8660-730X; Tello, Mario/0000-0003-4573-6460; Maisey, Kevin/0000-0002-7423-6329; Bermudez Humaran, Luis G./0000-0001-7525-3131; Torres-Maravilla, Edgar/0000-0002-3359-4517; Gonzalez, Alex/0000-0001-9968-8623</t>
  </si>
  <si>
    <t>2076-2607</t>
  </si>
  <si>
    <t>10.3390/microorganisms12030626</t>
  </si>
  <si>
    <t>WOS:001192866600001</t>
  </si>
  <si>
    <t>Pino-Cortés, E; Diaz-Robles, LA; Cubillos, F; Cereceda-Balic, F; Santander, R; Fu, JS; Carrasco, S; Acosta, J</t>
  </si>
  <si>
    <t>Pino-Cortes, Ernesto; Diaz-Robles, Luis A.; Cubillos, Francisco; Cereceda-Balic, Francisco; Santander, Roberto; Fu, Joshua S.; Carrasco, Samuel; Acosta, Jonathan</t>
  </si>
  <si>
    <t>The black carbon dispersion in the Southern Hemisphere and its transport and fate to Antarctica, an Anthropocene evidence for climate change policies</t>
  </si>
  <si>
    <t>SCIENCE OF THE TOTAL ENVIRONMENT</t>
  </si>
  <si>
    <t>Black carbon (BC) has been measured in Antarctica's air, and its global warming effect can potentially speed up the ice melting in the most solid water reservoir of the planet. However, the primary responsible sources are not well evidenced in this region. The dispersion of black carbon emissions from the Southern Hemisphere was conducting using atmospheric chemical transport model and we compared the results with satellite registries from March 1st to April 30th in 2014. The emission inventory considered the anthropogenic and biomass burning emissions from global datasets. The largest and most populated cities in Southern Hemisphere showed the higher emission of BC. As a result, the average daily concentrations of atmospheric BC were around 4 ng/m(3) in most regions of Antarctica according to its pristine characteristics. We analyzed fifteen relevant sites in coastal zones of Antartica and some peaks registered by the satellite records were not replicated by model outputs and it was mainly associated with the lack of emissions. Finally, we made simulations in the same period without biomass burning emissions and we observed decreased concentrations of BC in the range of 20-50%. As a result, we show that the black carbon transportation from the continental land to the polar region took place in 17-24 days during the Austral summer and the biomass burning emissions were the primary source. Black Carbon deposition in Antarctica is not permanent, but the uncontrolled emissions from Southern Hemisphere can increase its transportation to the white continent and make its accumulation during the period when the weak polar vortex occurs. (C) 2021 Elsevier B.V. All rights reserved.</t>
  </si>
  <si>
    <t>Cortés, Ernesto/Z-2777-2019; Diaz-Robles, Luis/D-3450-2013; Fu, Joshua/F-9303-2011; Acosta, Jonathan/AAR-7159-2020; Cereceda-Balic, Francisco/N-4479-2017</t>
  </si>
  <si>
    <t>Cereceda-Balic, Francisco/0000-0001-7761-1051; Fu, Joshua/0000-0001-5464-9225; Acosta, Jonathan/0000-0001-6323-9746; Pino-Cortes, Ernesto/0000-0001-5133-2812</t>
  </si>
  <si>
    <t>0048-9697</t>
  </si>
  <si>
    <t>1879-1026</t>
  </si>
  <si>
    <t>JUL 15</t>
  </si>
  <si>
    <t>10.1016/j.scitotenv.2021.146242</t>
  </si>
  <si>
    <t>WOS:000655718800005</t>
  </si>
  <si>
    <t>Marin, M; Gil-Costa, V; Bonacic, C; Baeza-Yates, R; Scherson, ID</t>
  </si>
  <si>
    <t>Marin, Mauricio; Gil-Costa, Veronica; Bonacic, Carolina; Baeza-Yates, Ricardo; Scherson, Isaac D.</t>
  </si>
  <si>
    <t>Sync/Async parallel search for the efficient design and construction of web search engines</t>
  </si>
  <si>
    <t>PARALLEL COMPUTING</t>
  </si>
  <si>
    <t>A parallel query processing method is proposed for the design and construction of web search engines to efficiently deal with dynamic variations in query traffic. The method allows for the efficient use of different distributed indexing and query processing strategies in server clusters consisting of multiple computational/storage nodes. It also enables a better utilization of local and distributed hardware resources as it automatically re-organizes parallel computations to benefit from the advantages of two mixed modes of operation, namely: a newly proposed synchronous mode and the standard asynchronous computing mode. Switching between modes is facilitated by a round-robin strategy devised to grant each query a fair share of the hardware resources and properly predict query throughput. Performance is evaluated by experimental methods and two case studies serve to show how to develop efficient parallel query processing algorithms for large-scale search engines based on the proposed paradigm. (C) 2010 Elsevier B.V. All rights reserved.</t>
  </si>
  <si>
    <t>Gil-Costa, Veronica/GPT-4785-2022; Marin, Mauricio/GLR-7700-2022; Baeza-Yates, Ricardo/H-5692-2015</t>
  </si>
  <si>
    <t>Gil-Costa, Veronica/0000-0003-4637-9725; Baeza-Yates, Ricardo/0000-0003-3208-9778; Marin, Mauricio/0000-0003-0662-7149</t>
  </si>
  <si>
    <t>0167-8191</t>
  </si>
  <si>
    <t>1872-7336</t>
  </si>
  <si>
    <t>10.1016/j.parco.2010.02.001</t>
  </si>
  <si>
    <t>WOS:000277221000001</t>
  </si>
  <si>
    <t>Menéndez-Proupin, E; Gutiérrez, G; Palmero, E; Peña, JL</t>
  </si>
  <si>
    <t>Electronic structure of crystalline binary and ternary Cd-Te-O compounds -: art. no. 035112</t>
  </si>
  <si>
    <t>PHYSICAL REVIEW B</t>
  </si>
  <si>
    <t>The electronic structure of crystalline CdTe, CdO, alpha-TeO2, CdTeO3, and Cd3TeO6 is studied by means of first principles calculations. The band structure, total and partial density of states, and charge densities are presented. For alpha-TeO2 and CdTeO3, Density Functional Theory within the Local Density Approximation (LDA) correctly describes the insulating character of these compounds. In the first four compounds, LDA underestimates the optical bandgap by roughly 1 eV. Based on this trend, we predict an optical bandgap of 1.7 eV for Cd3TeO6. This material shows an isolated conduction band with a low effective mass, thus explaining its semiconducting character observed recently. In all these oxides, the top valence bands are formed mainly from the O 2p electrons. On the other hand, the binding energy of the Cd 4d band, relative to the valence band maximum, in the ternary compounds is smaller than in CdTe and CdO.</t>
  </si>
  <si>
    <t>Menéndez Proupin, Eduardo/A-6026-2010; Gutierrez, Gonzalo/A-4973-2008</t>
  </si>
  <si>
    <t>Gutierrez, Gonzalo/0000-0003-0676-0089; Menendez Proupin, Eduardo/0000-0001-7534-8464</t>
  </si>
  <si>
    <t>2469-9950</t>
  </si>
  <si>
    <t>2469-9969</t>
  </si>
  <si>
    <t>JUL</t>
  </si>
  <si>
    <t>10.1103/PhysRevB.70.035112</t>
  </si>
  <si>
    <t>WOS:000222996700042</t>
  </si>
  <si>
    <t>Guerrero, J; Piro, OE; Wolcan, E; Feliz, MR; Ferraudi, G; Moya, SA</t>
  </si>
  <si>
    <t>Photochemical and photophysical reactions of fac-rhenium(I) tricarbonyl complexes.: Effects from binucleating spectator ligands on excited and ground state processes</t>
  </si>
  <si>
    <t>ORGANOMETALLICS</t>
  </si>
  <si>
    <t>Ground and excited state properties of the newly prepared complexes Re(CO)(3)(2,2 ' -biquinoline)L-S(+), L-S = pyrazine or 4,4 ' -bipyridine, and Re(CO)(3)(2,2 ' -bipy)(2-pyrazinecarboxylate were investigated by steady state and time-resolved spectroscopy. The X-ray structure of the latter compound showed that the spectator ligand 2-pyrazinecarboxylate is coordinated through the carboxylate group to Re(I). A component of the complexes' luminescence was associated with long-lived Re to ligand, 2,2 ' -biquinoline or 2,2 ' -bipy, charge transfer, while a fast component of the emission was associated with intraligand excited states. Quenching of the luminescence by CuCl2 involved energy transfer via dynamic and static mechanisms. The complexes in their excited states were reduced by 2,2 ' ,2  -nitrilotriethanol with the formation of Re(I) ligand-radical species. Similar products were generated by the pulse radiolytic reduction of the complexes. The photochemical properties of the 2,2 ' -biquinoline complexes and Re(CO)(3)(1, 10-phen)4-nitrobenzoate are compared, and the mechanisms of their photochemical reactions are discussed.</t>
  </si>
  <si>
    <t>Wolcan, Ezequiel/0000-0003-3516-1632</t>
  </si>
  <si>
    <t>0276-7333</t>
  </si>
  <si>
    <t>1520-6041</t>
  </si>
  <si>
    <t>JUN 25</t>
  </si>
  <si>
    <t>10.1021/om000784p</t>
  </si>
  <si>
    <t>WOS:000169545500026</t>
  </si>
  <si>
    <t>Thangamathi, R; Kumaresan, N; Kumar, MP; Mangalaraja, RV; Diaz, FVH; Sahlevani, SF; de Oliveira, TF; Pabba, DP; Sivakumar, P</t>
  </si>
  <si>
    <t>Thangamathi, R.; Kumaresan, Natesan; Kumar, M. Praveen; Mangalaraja, R. V.; Diaz, Francisco V. Herrera; Sahlevani, Saeed Farhang; de Oliveira, Tatianne Ferreira; Pabba, Durga Prasad; Sivakumar, P.</t>
  </si>
  <si>
    <t>Heterostructure-induced interfacial charge transfer interaction in CoS/ CoO@NAC nanosheets as a bi-functional electrocatalyst for water-splitting application</t>
  </si>
  <si>
    <t>Recently, bi-functional electrocatalytic materials have the potential for both the hydrogen evaluation reaction (HER) and oxygen evaluation reaction (OER) in the alkaline medium. In the present investigation, the cobalt sulfide/cobalt oxide hanged on the nitrogen -doped activated carbon nanosheets (CoS/CoO@NAC) as nanocomposites were synthesized through the hydrothermal and then the carbonization processes. The X-ray diffraction peaks observed in the CoS/CoO@NAC nanocomposites revealed the presence of CoS, CoO, and Ndoped activated carbon nanosheets which confirmed the formation of binary nanocomposites. The BET analysis of CoS/CoO@NAC nanocomposites resulted an enhancement of the surface area of about 1038.57 m2/g along with the pore size and pore volume of 3.23 nm and 0.442 cc/g, respectively. The CoS/CoO@NAC, nanocomposites were used for bi-functional catalysis which divulged the low over potential for both HER and OER analyses at about -0.266 V and 0.199 V vs. RHE, respectively at 10 mA/cm2 current density in the alkaline medium.</t>
  </si>
  <si>
    <t>Viswanathan, Mangalaraja/AAM-6090-2020; de Oliveira, Tatianne/J-8817-2018; Pabba, Durga Prasad/GYQ-6386-2022; Ramalinga Viswanathan, Mangalaraja/JOZ-3129-2023</t>
  </si>
  <si>
    <t>Pabba, Durga Prasad/0000-0002-4880-2833; Ramalinga Viswanathan, Mangalaraja/0000-0003-1016-9830; Herrera, Francisco/0000-0001-7783-2970</t>
  </si>
  <si>
    <t>APR 25</t>
  </si>
  <si>
    <t>10.1016/j.ijhydene.2024.03.240</t>
  </si>
  <si>
    <t>MAR 2024</t>
  </si>
  <si>
    <t>WOS:001215425000001</t>
  </si>
  <si>
    <t>Cofre-Bolados, C; Vidal, F; Espinoza, HG; Betancourt-Peters, I; Orihuela, PA; Izquierdo, M</t>
  </si>
  <si>
    <t>Cofre-Bolados, Cristian; Vidal, Felix; Espinoza, Hector Gutierrez; Betancourt-Peters, Ignacio; Orihuela, Pedro A.; Izquierdo, Mikel</t>
  </si>
  <si>
    <t>Periodized Aerobic Training between Thresholds Improves Submaximal Cardiorespiratory Parameters in Octogenarians</t>
  </si>
  <si>
    <t>SPORTS</t>
  </si>
  <si>
    <t>Background and Aims: The worldwide aging population is expanding, with more individuals living into their 80s. Physiological functions decline gradually with age, compounded by sedentary lifestyles. Incorporating physical activity into daily routine is crucial for maintaining independence. This study aimed to assess a periodized high-intensity aerobic training program (PEZO-BT) in octogenarians, focusing on submaximal ergospirometry effects. Methods: A total of 48 non-frail octogenarian subjects (12 females, 36 males) were randomized into control and intervention groups. All subjects underwent submaximal cardiopulmonary exercise testing with gas analysis at baseline, stopping after the respiratory compensation point (RCP). Our intervention group completed a 14-week PEZO-BT aerobic training program. The outcomes were oxygen consumption at first ventilatory threshold (VO(2)AT), ventilatory efficiency slope (VE/VCO2), oxygen uptake efficiency slope (OUES), cardiorespiratory optimal point (COP), oxygen pulse change (Delta VO2/HR) from anaerobic threshold (AT) to respiratory compensation point (RCP), and power output at anaerobic threshold (POAT). Results: Mixed ANOVA examined time and treatment effects. If significance emerged, post hoc t-tests were used to compare significances between groups. The homogeneity of variance was assessed using Levene's test. Chi-square tests compared ergospirometry criteria and ventilatory performance within groups. The mean differences at post intervention were significant in VO(2)AT (p &lt; 0.001), VE/VCO2 (p &lt; 0.001), Delta VO2/HR (p &lt; 0.05), and POAT (p &lt; 0.001), while OUES and COP were not significant (p &gt; 0.05). However, clinical effects were observed in the entire intervention group. Conclusions: Training improved exercise capacity and workload. Overall, this periodic aerobic and high-intensity interval training (HIIT) program yielded significant improvements in cardiorespiratory fitness (CRF) in previously untrained octogenarians with and without comorbidities. The findings suggest implications for promoting long-term healthy aging.</t>
  </si>
  <si>
    <t>; Izquierdo, Mikel/A-4894-2010; Gutierrez Espinoza, Hector Joaquin/S-3596-2017</t>
  </si>
  <si>
    <t>Orihuela, Pedro/0000-0002-4238-0932; Izquierdo, Mikel/0000-0002-1506-4272; Gutierrez Espinoza, Hector Joaquin/0000-0002-4650-3426</t>
  </si>
  <si>
    <t>2075-4663</t>
  </si>
  <si>
    <t>10.3390/sports11110219</t>
  </si>
  <si>
    <t>WOS:001114567300001</t>
  </si>
  <si>
    <t>Rangabhashiyam, S; Lins, PVD; Oliveira, LMTD; Sepulveda, P; Ighalo, JO; Rajapaksha, AU; Meili, L</t>
  </si>
  <si>
    <t>Rangabhashiyam, S.; dos Santos Lins, Pollyanna, V; de Magalhaes Oliveira, Leonardo M. T.; Sepulveda, Pamela; Ighalo, Joshua O.; Rajapaksha, Anushka Upamali; Meili, Lucas</t>
  </si>
  <si>
    <t>Sewage sludge-derived biochar for the adsorptive removal of wastewater pollutants: A critical review</t>
  </si>
  <si>
    <t>ENVIRONMENTAL POLLUTION</t>
  </si>
  <si>
    <t>The production of biochar from sewage sludge pyrolysis is a promising approach to transform the waste resultant from wastewater treatment plants (WWTPs) to a potential adsorbent. The current review provides an up-to-date review regarding important aspects of sewage sludge pyrolysis, highlighting the process that results major solid fraction (biochar), as high-value product. Further, the physio-chemical characteristics of sewage-sludge derived biochar such as the elemental composition, specific surface area, pore size and volume, the functional groups, surface morphology and heavy metal content are discussed. Recent progress on adsorption of metals, emerging pollutants, dyes, nutrients and oil are discussed and the results are examined. The sewage sludge-derived biochar is a promising material that can make significant contributions on pollutants removal from water by adsorption and additional benefit of the management of huge volume of sewage. Considering all these aspects, this field of research still needs more attention from the researchers in the direction of the technological features and sustainability aspects.</t>
  </si>
  <si>
    <t>Selvasembian, Rangabhashiyam/N-8801-2017; Sepulvedaor, Pamela/GRO-3516-2022; de Magalhães Oliveira, Leonardo/AAA-1913-2021; Ighalo, Joshua/D-2551-2019; Meili, Lucas/E-8962-2015; Rajapaksha, Anushka Upamali/P-4765-2017</t>
  </si>
  <si>
    <t>Ighalo, Joshua/0000-0002-8709-100X; Meili, Lucas/0000-0002-0307-8204; Oliveira, Leonardo/0000-0002-5709-1375; S, Rangabhashiyam/0000-0003-0306-6753; Rajapaksha, Anushka Upamali/0000-0002-3240-3934</t>
  </si>
  <si>
    <t>0269-7491</t>
  </si>
  <si>
    <t>1873-6424</t>
  </si>
  <si>
    <t>JAN 15</t>
  </si>
  <si>
    <t>10.1016/j.envpol.2021.118581</t>
  </si>
  <si>
    <t>WOS:000758385100008</t>
  </si>
  <si>
    <t>Aichholzer, O; Fabila-Monroy, R; Hurtado, F; Pérez-Lantero, P; Ruiz-Vargas, AJ; Urrutia, J; Vogtenhuber, B</t>
  </si>
  <si>
    <t>Aichholzer, Oswin; Fabila-Monroy, Ruy; Hurtado, Ferran; Perez-Lantero, Pablo; Ruiz-Vargas, Andres J.; Urrutia, Jorge; Vogtenhuber, Birgit</t>
  </si>
  <si>
    <t>Cross-sections of line configurations in R3 and (d-2)-flat configurations in Rd</t>
  </si>
  <si>
    <t>COMPUTATIONAL GEOMETRY-THEORY AND APPLICATIONS</t>
  </si>
  <si>
    <t>26th Canadian Conference on Computational Geometry (CCCG)</t>
  </si>
  <si>
    <t>AUG 11-13, 2014</t>
  </si>
  <si>
    <t>Dalhousie Univ, Halifax, CANADA</t>
  </si>
  <si>
    <t>Dalhousie Univ</t>
  </si>
  <si>
    <t>We consider sets L = {l(1),..., l(n)} of n labeled lines in general position in R-3, and study the order types of point sets {p(1),..., p(n)} that stem from the intersections of the lines in L with (directed) planes Pi, not parallel to any line of L, that is, the proper cross-sections of L. As two main results, we show that the number of different order types that can be obtained as cross-sections of G is O(n(9)) when considering all possible planes Pi, and O(n3) when restricting considerations to sets of pairwise parallel planes, where both bounds are tight. The result for parallel planes implies that any set of n points in R-2 moving with constant (but possibly different) speeds along straight lines forms at most O(n(3)) different order types over time. We further generalize the setting from R-3 to R-d with d &gt; 3, showing that the number of order types that can be obtained as cross-sections of a set of n labeled (d - 2)-flats in Rd with planes is O ((((n3) + n)(d(d-2)))). (C) 2018 Elsevier B.V. All rights reserved.</t>
  </si>
  <si>
    <t>Fabila-Monroy, Ruy/A-2890-2016</t>
  </si>
  <si>
    <t>Aichholzer, Oswin/0000-0002-2364-0583</t>
  </si>
  <si>
    <t>0925-7721</t>
  </si>
  <si>
    <t>1879-081X</t>
  </si>
  <si>
    <t>10.1016/j.comgeo.2018.02.005</t>
  </si>
  <si>
    <t>WOS:000454975800006</t>
  </si>
  <si>
    <t>Wilkens, CA; Akentjew, TL; Terraza, CF; Blaker, JJ; García-Herrera, CM; Enrione, JI; Valenzuela, LM; Khoury, M; Acevedo, JP</t>
  </si>
  <si>
    <t>Wilkens, C. A.; Akentjew, T. L.; Terraza, C. F.; Blaker, J. J.; Garcia-Herrera, C. M.; Enrione, J. I.; Valenzuela, L. M.; Khoury, M.; Acevedo, J. P.</t>
  </si>
  <si>
    <t>Automated Micro-Fabrication of a Small Diameter Vascular Graft Mimicking the Structure and Mechanical Properties of Human Vessels</t>
  </si>
  <si>
    <t>TISSUE ENGINEERING PART A</t>
  </si>
  <si>
    <t>TERMIS - Americas Conference and Exhibition</t>
  </si>
  <si>
    <t>DEC 03-06, 2017</t>
  </si>
  <si>
    <t>Charlotte, NC</t>
  </si>
  <si>
    <t>TERMIS Americas</t>
  </si>
  <si>
    <t>Valenzuela, Luis Miguel/MSX-5719-2025; García-Herrera, Claudio/ABE-8991-2020</t>
  </si>
  <si>
    <t>1937-3341</t>
  </si>
  <si>
    <t>1937-335X</t>
  </si>
  <si>
    <t>S94</t>
  </si>
  <si>
    <t>WOS:000416247300360</t>
  </si>
  <si>
    <t>Hernandez-Martinez, J; Ramos-Espinoza, F; Muñoz-Vásquez, C; Guzman-Muñoz, E; Herrera-Valenzuela, T; Branco, BHM; Castillo-Cerda, M; Valdés-Badilla, P</t>
  </si>
  <si>
    <t>Hernandez-Martinez, Jordan; Ramos-Espinoza, Francisco; Munoz-Vasquez, Cristopher; Guzman-Munoz, Eduardo; Herrera-Valenzuela, Tomas; Branco, Braulio Henrique Magnani; Castillo-Cerda, Maria; Valdes-Badilla, Pablo</t>
  </si>
  <si>
    <t>Effects of active exergames on physical performance in older people: an overview of systematic reviews and meta-analysis</t>
  </si>
  <si>
    <t>FRONTIERS IN PUBLIC HEALTH</t>
  </si>
  <si>
    <t>This overview assessed the available body of published peer-reviewed systematic reviews and meta-analyses related to the effects of active exergames compared with active/passive control on physical performance outcomes in older people. The methodological quality and certainty of evidence were assessed using PRISMA, AMSTAR 2, and GRADE. The protocol was registered in PROSPERO (code: CRD42023391694). The main outcomes indicate that 4,477 records, five systematic reviews, and 10 meta-analyses were included. The AMSTAR-2 reported six meta-analyses with high methodological quality, four moderate quality, two systematic reviews with low quality, and three very-low quality. Meta-analysis was performed on balance using the Berg Balance Scale (BBS) and Timed Up-and-Go (TUG) tests, on cardiorespiratory fitness using the 6-min walk test, and on upper and lower limbs muscle strength using the handgrip strength, knee extension, and 30-s chair stand tests. Significant differences in favor of the active exergames groups concerning active/passive groups were reported in BBS (SMD = 0.85; 95% CI = 0.12-1.58; I-2 = 96%; p = 0.02), TUG (SMD = 1.44; 95% CI = 0.71-2.16; I-2 = 97%; p &lt; 0.0001), and 30-s chair stand test (SMD = 0.79; 95% CI = 0.33-1.25; I-2 = 88%; p = 0.0008). However, no significant differences were reported in favor of the active exergames groups in 6-min walk (SMD = 0.93; 95% CI = -0.64 to 2.50; I-2 = 95%; p = 0.24), handgrip strength (SMD = 0.67; 95% CI = -0.04 to 1.38; I-2 = 84%; p = 0.06), and knee extension tests (SMD = 0.20; 95% CI = -0.05 to 0.44; I-2 = 95%; p = 0.12) compared to active/passive control. However, it was impossible to perform a meta-analysis for the variables of walking speed as a fall risk due to the diversity of instruments and the small number of systematic reviews with meta-analysis. In conclusion, interventions utilizing active exergames have shown significant improvements in the static and dynamic balance and lower limb muscle strength of apparently healthy older people, compared to control groups of active/inactive participants, as measured by BBS, TUG, and 30-s chair stand tests. However, no significant differences were found in the 6-min walk, HGS, and knee extension tests.</t>
  </si>
  <si>
    <t>Branco, Braulio/AAA-1747-2019; Herrera-Valenzuela, Tomas/L-1819-2019; Hernandez-Martinez, Jordan/AAK-5115-2020; Magnani Branco, Braulio Henrique/B-8178-2017</t>
  </si>
  <si>
    <t>Guzman-Munoz, Eduardo/0000-0001-7001-9004; Magnani Branco, Braulio Henrique/0000-0002-4625-9128; Munoz Vasquez, Cristopher/0009-0001-6751-1994</t>
  </si>
  <si>
    <t>2296-2565</t>
  </si>
  <si>
    <t>10.3389/fpubh.2024.1250299</t>
  </si>
  <si>
    <t>WOS:001206544800001</t>
  </si>
  <si>
    <t>Zúñiga-Núñez, D; Mura, F; Mariño-Ocampo, N; Briones-Rebolledo, P; Poblete, H; Mallet, JM; Fuentealba, D; Aspée, A</t>
  </si>
  <si>
    <t>Zuniga-Nunez, Daniel; Mura, Francisco; Marino-Ocampo, Nory; Briones-Rebolledo, Patricio; Poblete, Horacio; Mallet, Jean-Maurice; Fuentealba, Denis; Aspee, Alexis</t>
  </si>
  <si>
    <t>Time-resolved fluorescence and anisotropy-sensitive 1,2-dimyristoyl-sn-glycero-3-(7-aminocoumarin) phosphoetanolamide probe for studying membrane lipid domains</t>
  </si>
  <si>
    <t>A fluorescent probe C-DMPE was synthesised to monitor interfacial membrane properties by conjugating coumarin-343 and 1,2-dimyristoyl-sn-glycero-3-phosphorylethanolamine (DMPE), anchoring the 7-aminocou-marin moiety close to the phospholipid polar head at the membrane interface. Large unilamellar vesicles (LUV) of 1,2-dipalmitoyl-sn-glycero-3-phosphatidylcholine (DPPC), of 1,2-dioleyl-sn-glycero-3-phosphatidyl-choline (DOPC) and cholesterol were employed as a model of lipid bilayer. Time-resolved fluorescence developed an emissive Internal Charge Transfer excited state with a long fluorescence lifetime (T1), a Locally Excited state with an intermediate fluorescence lifetime (T2), and a short lifetime (T3) associated with an intermolecular quenching by interaction with a phosphate group of neighbour phospholipids, as is clearly shown by molecular dynamics simulations. Shorter values of fluorescence lifetimes T1 and T3 were observed in DOPC with respect to DPPC, responding to a more fluid membrane with more significant water accessibility in DOPC than DPPC. However, in DPPC:DOPC vesicles, these fluorescence lifetimes are even shorter, allowing to be attributed to favourable sensing of boundary limit lipid domains. In similitude, time-resolved anisotropy showed shorter rotational correlation times phi 1, in DPPC: DOPC vesicles than in DOPC associated with a faster internal rotational movement of the 7-aminocoumarin group in domains than in fluid a DOPC membrane. In addition, shorter rotational correlation times, (P2, were also observed in DPPC:DOPC vesicles compared to DPPC, suggesting a faster lateral diffusion of the probe in the presence of domains.</t>
  </si>
  <si>
    <t>Poblete, Horacio/J-9781-2012; Mariño Ocampo, Nory/I-8512-2015; Mallet, Jean-Maurice/H-2113-2011; Fuentealba, Denis/R-9880-2016</t>
  </si>
  <si>
    <t>Marino-Ocampo, Nory/0000-0003-2013-9790; Mura Mardones, Francisco/0000-0003-0463-1814; Mallet, Jean-Maurice/0000-0001-8570-9542; Fuentealba, Denis/0000-0003-4798-7204</t>
  </si>
  <si>
    <t>10.1016/j.dyepig.2023.111368</t>
  </si>
  <si>
    <t>MAY 2023</t>
  </si>
  <si>
    <t>WOS:001009414600001</t>
  </si>
  <si>
    <t>González-Bermúdez, B; Abarca-Ortega, A; González-Sánchez, M; De la Fuente, M; Plaza, GR</t>
  </si>
  <si>
    <t>Gonzalez-Bermudez, Blanca; Abarca-Ortega, Aldo; Gonzalez-Sanchez, Monica; de la Fuente, Monica; Plaza, Gustavo R.</t>
  </si>
  <si>
    <t>Possibilities of using T-cell biophysical biomarkers of ageing</t>
  </si>
  <si>
    <t>EXPERT REVIEWS IN MOLECULAR MEDICINE</t>
  </si>
  <si>
    <t>Ageing is interrelated with the development of immunosenescence. This article focuses on one of the cell sets of the adaptive immune system, T cells, and provides a review of the known changes in T cells associated with ageing. Such fundamental changes affect both cell molecular content and internal ordering. However, acquiring a complete description of the changes at these levels would require extensive measurements of parameters and, furthermore, important fine details of the internal ordering that may be difficult to detect. Therefore, an alternative approach for the characterisation of cells consists of the performance of physical measurements of the whole cell, such as deformability measurements or migration measurements: the physical parameters, complementing the commonly used chemical biomarkers, may contribute to a better understanding of the evolution of T-cell states during ageing. Mechanical measurements, among other biophysical measurements, have the advantage of their relative simplicity: one single parameter agglutinates the complex effects of the variety of changes that gradually appear in cells during ageing.</t>
  </si>
  <si>
    <t>GONZALEZ-SANCHEZ, MONICA/M-5705-2016; Gonzalez-Bermudez, Blanca/AAA-6726-2019; Abarca Ortega, Aldo Fabian/ABE-4995-2020; Plaza, Gustavo R./E-4455-2012</t>
  </si>
  <si>
    <t>Gonzalez-Bermudez, Blanca/0000-0002-1266-0917; Abarca Ortega, Aldo Fabian/0000-0002-1600-8555; Plaza, Gustavo R./0000-0002-5555-5498</t>
  </si>
  <si>
    <t>1462-3994</t>
  </si>
  <si>
    <t>SEP 16</t>
  </si>
  <si>
    <t>e35</t>
  </si>
  <si>
    <t>10.1017/erm.2022.29</t>
  </si>
  <si>
    <t>WOS:000866404400001</t>
  </si>
  <si>
    <t>Araya-Arriagada, J; Garay, S; Rojas, C; Duran-Aniotz, C; Palacios, AG; Chacón, M; Medina, LE</t>
  </si>
  <si>
    <t>Araya-Arriagada, Joaquin; Garay, Sebastian; Rojas, Cristobal; Duran-Aniotz, Claudia; Palacios, Adrian G.; Chacon, Max; Medina, Leonel E.</t>
  </si>
  <si>
    <t>Multiscale entropy analysis of retinal signals reveals reduced complexity in a mouse model of Alzheimer's disease</t>
  </si>
  <si>
    <t>Alzheimer's disease (AD) is one of the most significant health challenges of our time, affecting a growing number of the elderly population. In recent years, the retina has received increased attention as a candidate for AD biomarkers since it appears to manifest the pathological signatures of the disease. Therefore, its electrical activity may hint at AD-related physiological changes. However, it is unclear how AD affects retinal electrophysiology and what tools are more appropriate to detect these possible changes. In this study, we used entropy tools to estimate the complexity of the dynamics of healthy and diseased retinas at different ages. We recorded microelectroretinogram responses to visual stimuli of different nature from retinas of young and adult, wild-type and 5xFAD-an animal model of AD-mice. To estimate the complexity of signals, we used the multiscale entropy approach, which calculates the entropy at several time scales using a coarse graining procedure. We found that young retinas had more complex responses to different visual stimuli. Further, the responses of young, wild-type retinas to natural-like stimuli exhibited significantly higher complexity than young, 5xFAD retinas. Our findings support a theory of complexity-loss with aging and disease and can have significant implications for early AD diagnosis.</t>
  </si>
  <si>
    <t>Rojas, Cristobal/I-6599-2012; Medina, Leonel E/AAE-2173-2019; Palacios, Adrian/E-9846-2015</t>
  </si>
  <si>
    <t>Rojas, Cristobal/0000-0002-9037-6102; A. Arriagada, Joaquin Alberto/0000-0002-4698-6149; Medina, Leonel E/0000-0002-4170-9281; Duran-Aniotz, Claudia/0000-0003-2503-8366; Palacios, Adrian/0000-0003-1532-7527</t>
  </si>
  <si>
    <t>MAY 25</t>
  </si>
  <si>
    <t>10.1038/s41598-022-12208-2</t>
  </si>
  <si>
    <t>WOS:000802776400027</t>
  </si>
  <si>
    <t>Salman, M; Abbas, RZ; Mehmood, K; Hussain, R; Shah, S; Faheem, M; Zaheer, T; Abbas, A; Morales, B; Aneva, I; Martínez, JL</t>
  </si>
  <si>
    <t>Salman, Muhammad; Abbas, Rao Zahid; Mehmood, Khalid; Hussain, Riaz; Shah, Sehar; Faheem, Mehwish; Zaheer, Tean; Abbas, Asghar; Morales, Bernardo; Aneva, Ina; Martinez, Jose L.</t>
  </si>
  <si>
    <t>Assessment of Avermectins-Induced Toxicity in Animals</t>
  </si>
  <si>
    <t>PHARMACEUTICALS</t>
  </si>
  <si>
    <t>Macrocyclic lactones, particularly the avermectins, have completely revolutionized the approaches aimed at control of parasites. These avermectins are the most widely used anti-parasitic drugs in veterinary field with sales exceeding one billion US dollars annually. However, before clinical usage, their safety evaluation in the animals is a major critical factor that must be considered. Many studies have reported the negative effects of avermectins like ivermectin, abamectin, doramectin, and eprinomectin on the host animals. These harmful effects arise from avermectins targeting GABA and glutamate-gated chloride channels present both in the parasites and the host animals. In this review, various modes of avermectins action along with the negative effects on the host like nephrotoxicity, hepatotoxicity, neurotoxicity, reproductive toxicity, and endocrine disruption were discussed in detail. Furthermore, other important issues like ecotoxicity, drug resistance, and drug residues in milk associated with avermectins usage were also discussed, which need special attention.</t>
  </si>
  <si>
    <t>Aneva, Ina/HNR-2928-2023; Hussain, Riaz/AAZ-9294-2021; Morales Castañeda, Bernardo/GPP-1642-2022; Abbas, Rao/AAK-7270-2020; Martinez, Jose/B-5371-2013; Zaheer, Tean/ABI-6123-2020; Faheem, Mehwish/ABG-6649-2020; Salman, Muhammad/ABE-2175-2020; MEHMOOD, KHALID/Y-5882-2019</t>
  </si>
  <si>
    <t>Salman, Muhammad/0000-0002-0334-7320; Zaheer, Tean/0000-0001-8248-6451; MEHMOOD, KHALID/0000-0003-4720-8792; Aneva, Ina/0000-0002-6476-5438</t>
  </si>
  <si>
    <t>1424-8247</t>
  </si>
  <si>
    <t>10.3390/ph15030332</t>
  </si>
  <si>
    <t>WOS:000774621900001</t>
  </si>
  <si>
    <t>Aracena, A; Rezende, MC; Garcia, M; Munoz-Becerra, K; Wrighton-Araneda, K; Valdebenito, C; Celis, F; Vasquez, O</t>
  </si>
  <si>
    <t>Aracena, Andres; Rezende, Marcos Caroli; Garcia, Macarena; Munoz-Becerra, Karina; Wrighton-Araneda, Kerry; Valdebenito, Cristian; Celis, Freddy; Vasquez, Octavio</t>
  </si>
  <si>
    <t>Alkylated Benzodithienoquinolizinium Salts as Possible Non-Fullerene Organic N-Type Semiconductors: An Experimental and Theoretical Study</t>
  </si>
  <si>
    <t>MATERIALS</t>
  </si>
  <si>
    <t>Three photobicyclized benzodithienoquinolizinium tetrafluoroborates (BPDTQBF4) were prepared and evaluated by UV-Vis and fluorescence spectral, electrochemical analysis, and by theoretical calculations as possible organic n-type semiconductors. Evaluation and comparison of their LUMO levels, HOMO-LUMO energy gaps as monomeric and pi-stacked dimers with those of other materials, suggest their potential as organic n-type semiconductors. Calculations of their relative charge carrier mobilities confirmed this potential for one derivative with a long (C-14) alkyl chain appended to the polycyclic planar pi-system.</t>
  </si>
  <si>
    <t>Caroli, Marcos/H-3570-2019; Aracena, Andres/MCK-0713-2025; Celis, Freddy/GPT-0287-2022; Muñoz-Becerra, Karina/GPP-1386-2022; Valdebenito, Cristian/V-1401-2018; García, Macarena/GXG-8380-2022; Vasquez, Sergio Octavio/I-4092-2016; Wrighton-Araneda, Kerry Jeffry/X-2381-2019</t>
  </si>
  <si>
    <t>Vasquez, Sergio Octavio/0000-0002-0183-0335; Celis, Freddy/0000-0003-3195-3018; Wrighton-Araneda, Kerry Jeffry/0000-0003-4872-8976; Aracena, Andres/0000-0002-8367-3520; Munoz-Becerra, Karina/0000-0001-9882-6342; Valdebenito, Cristian/0000-0001-9547-6930</t>
  </si>
  <si>
    <t>1996-1944</t>
  </si>
  <si>
    <t>10.3390/ma14216239</t>
  </si>
  <si>
    <t>WOS:000718999600001</t>
  </si>
  <si>
    <t>Barahona, T; Sánchez, RAR; Noseda, MD; Mansilla, A; Matsuhiro, B; Prado, HJ; Matulewicz, MC</t>
  </si>
  <si>
    <t>Barahona, Tamara; Rodriguez Sanchez, Rodrigo A.; Noseda, Miguel D.; Mansilla, Andres; Matsuhiro, Betty; Prado, Hector J.; Matulewicz, Maria C.</t>
  </si>
  <si>
    <t>Characterization of polysaccharides from cystocarpic and tetrasporic stages of Sub-Antarctic Iridaea cordata</t>
  </si>
  <si>
    <t>ALGAL RESEARCH-BIOMASS BIOFUELS AND BIOPRODUCTS</t>
  </si>
  <si>
    <t>The polysaccharide systems from cystocarpic and tetrasporic phases of the Sub-Antarctic algae Iridaea cordata were studied. Cystocarpic plant polysaccharides are mainly composed by carrageenans of the x-family. However, agaran structures were also detected in the fraction soluble in 2.00 M KCl, after fractionation with increasing potassium chloride solutions. The presence of 13-D-galactose-alpha-L-galactose 3-sulfate, 13-D-galactose-alpha-L-galactose 6sufate, 13-D-galactose 6-sulfate-alpha-L-galactose 6-sufate, and of 13-D-galactose 4-sulfate-alpha-L-galactose 2,3-disulfate diads was confirmed by means of methylation and NMR spectroscopy analyses; the latter diad has been scarcely reported. The first extracts from tetrasporic plants rendered a pure lambda-carrageenan with considerable yield, which confers this species promising commercial applications. In some cystocarpic and tetrasporic extracts alpha-glucose was also found and assigned to floridean starch by 1H-13C HSQC NMR spectroscopy.</t>
  </si>
  <si>
    <t>Sánchez, Rodrigo/HJI-9219-2023; Noseda, Miguel/I-6480-2013</t>
  </si>
  <si>
    <t>Rodriguez Sanchez, Rodrigo Antonio/0000-0003-3155-6725; Mansilla, Andres/0000-0003-3505-7018</t>
  </si>
  <si>
    <t>2211-9264</t>
  </si>
  <si>
    <t>10.1016/j.algal.2021.102503</t>
  </si>
  <si>
    <t>SEP 2021</t>
  </si>
  <si>
    <t>WOS:000704699800001</t>
  </si>
  <si>
    <t>Cerda, FC; Goulas, C; Sabirov, I; Papaefthymiou, S; Monsalve, A; Petrov, RH</t>
  </si>
  <si>
    <t>Castro Cerda, F.; Goulas, C.; Sabirov, I.; Papaefthymiou, S.; Monsalve, A.; Petrov, R. H.</t>
  </si>
  <si>
    <t>Microstructure, texture and mechanical properties in a low carbon steel after ultrafast heating</t>
  </si>
  <si>
    <t>MATERIALS SCIENCE AND ENGINEERING A-STRUCTURAL MATERIALS PROPERTIES MICROSTRUCTURE AND PROCESSING</t>
  </si>
  <si>
    <t>Heating experiments in a wide range of heating rates from 10 degrees C/s to 1200 degrees C/s and subsequent quenching without isothermal soaking have been carried out on a low carbon steel. The thermal cycles were run on two different cold rolled microstructures, namely ferrite+pearlite and ferrite+martensite. It is shown that the average ferritic grain size, the ferrite grain size distribution, the phase volume fractions and the corresponding mechanical properties (ultimate tensile strength and ductility) after quenching are strongly influenced by the heating rates and the initial microstructure. The ferrite grain size distribution is significantly modified by the heating rate, showing a markedly bimodal distribution after fast annealing. The rise of the heating rate has produced a change in the relative intensities of texture components, favouring those of the cold-deformed structure (RD fibre) over the recrystallization components (ND fibre). (C) 2016 Elsevier B.V. All rights reserved.</t>
  </si>
  <si>
    <t>Goulas, Constantinos/N-5450-2019; Papaefthymiou, Spyros/C-6046-2015; Petrov, Roumen/A-5066-2008; Sabirov, Ilchat/AAF-4526-2019; Castro Cerda, Felipe Manuel/Q-2714-2016</t>
  </si>
  <si>
    <t>Goulas, Constantinos/0000-0003-4910-1761; Castro Cerda, Felipe Manuel/0000-0001-8126-5593; Petrov, Roumen/0000-0003-0551-9058; Sabirov, Ilchat/0000-0001-5211-6054; Monsalve, Alberto/0000-0002-5772-8815</t>
  </si>
  <si>
    <t>0921-5093</t>
  </si>
  <si>
    <t>1873-4936</t>
  </si>
  <si>
    <t>AUG 30</t>
  </si>
  <si>
    <t>10.1016/j.msea.2016.06.056</t>
  </si>
  <si>
    <t>WOS:000381952300013</t>
  </si>
  <si>
    <t>Peredo, SF; Parada, E; Alvarez, R; Barrera, C</t>
  </si>
  <si>
    <t>Peredo, Santiago F.; Parada, Esperanza; Alvarez, Ricardo; Barrera, Claudia</t>
  </si>
  <si>
    <t>Cutting vegetative propagation of Dasyphyllum diacanthoides, with endogenous resources. An agroecological approach</t>
  </si>
  <si>
    <t>BOLETIN LATINOAMERICANO Y DEL CARIBE DE PLANTAS MEDICINALES Y AROMATICAS</t>
  </si>
  <si>
    <t>The empirical evidence obtained by farmers of Huechelepon area (commune of Melipeuco, La Araucania, Chile) indicates that the specie Dasyphyllum diacanthoides, besides presenting medicinal properties, is a winter forage alternative. This property along with its status as endemic forests of Chile requires reconciling the use and conservation of this species. The aim of this study was to propagate D. diacanthoides by semi lignified cuttings and determine the effect of the presence of thorns in the cuttings and North or South exposure mother plants in rooting. The study was performed using endogenous resources, so the evaluated variables were determined on the basis of knowledge of farmers. The experimental design included four treatments: T1: cuttings of plants with southern exposure and thorns, T2: Stakes southern exposure plants without thorns, T3: cuttings of plants with northern exposure spineless and T4: cuttings of plants with northern exposure with thorns. Each treatment consisted of 25 replicates and a complete randomized design for location of the cuttings in the greenhouse was used. Cuttings from plants in North slopes had higher percentages of survival, rooting and callus formation the plant on hillsides South. Mann-Whitney U test showed significant differences between stakes with and without spines north only exposure length roots (p &lt;= 0.05). The vegetative propagation of cuttings D. diacanthoides by semi lignified is feasible. The best results are obtained with stakes thornless plants mothers with Northern exposure.</t>
  </si>
  <si>
    <t>0717-7917</t>
  </si>
  <si>
    <t>WOS:000358504500005</t>
  </si>
  <si>
    <t>Prades, R; Guerrero, S; Araya, E; Molina, C; Salas, E; Zurita, E; Selva, J; Egea, G; López-Iglesias, C; Teixidó, M; Kogan, MJ; Giralt, E</t>
  </si>
  <si>
    <t>Prades, Roger; Guerrero, Simon; Araya, Eyleen; Molina, Claudia; Salas, Edison; Zurita, Esther; Selva, Javier; Egea, Gustavo; Lopez-Iglesias, Carmen; Teixido, Meritxell; Kogan, Marcelo J.; Giralt, Ernest</t>
  </si>
  <si>
    <t>Delivery of gold nanoparticles to the brain by conjugation with a peptide that recognizes the transferrin receptor</t>
  </si>
  <si>
    <t>BIOMATERIALS</t>
  </si>
  <si>
    <t>The treatment of Alzheimer's disease and many other brain-related disorders is limited because of the presence of the blood brain barrier, which highly regulate the crossing of drugs. Metal nanoparticles have unique features that could contribute to the development of new therapies for these diseases. Nanoparticles have the capacity to carry several molecules of a drug; furthermore, their unique physicochemical properties allow, for example, photothermal therapy to produce molecular surgery to destroy tumor cells and toxic structures. Recently, we demonstrated that gold nanoparticles conjugated to the peptide CLPFFD are useful to destroy the toxic aggregates of beta-amyloid, similar to the ones found in the brains of patients with Alzheimer's disease. However, nanoparticles, like many other compounds, have null or very low capacity to cross the blood brain barrier. In order to devise a strategy to improve drug delivery to the brain, here we introduced the peptide sequence THRPPMWSPVWP into the gold nanoparticle CLPFFD conjugate. This peptide sequence interacts with the transferrin receptor present in the microvascular endothelial cells of the blood brain barrier, thus causing an increase in the permeability of the conjugate in brain, as shown by experiments in vitro and in vivo. Our results are highly relevant for the therapeutic applications of gold nanoparticles for molecular surgery in the treatment of neurodegenerative diseases such as Alzheimer's disease. (C) 2012 Elsevier Ltd. All rights reserved.</t>
  </si>
  <si>
    <t>Selva, Javier/MGT-6442-2025; kogan, Marcelo/I-2868-2013; Salas-Huenuleo, Edison/AAF-6987-2019; Molina Castillo, Claudio Tomás/O-1970-2018; Guerrero, Simon/GPF-5832-2022; teixido, meritxell/I-3282-2015; Egea, Gustavo/I-2394-2014; giralt, ernest/N-1669-2014</t>
  </si>
  <si>
    <t>araya, Eyleen/0000-0002-4486-384X; teixido, meritxell/0000-0002-7825-3695; Salas-Huenuleo, Edison/0000-0003-4355-5252; Guerrero, Simon/0000-0002-3003-0337; Egea, Gustavo/0000-0001-5242-150X; Kogan, Marcelo/0000-0003-0608-5087; giralt, ernest/0000-0001-8381-1797; Prades, Roger/0000-0001-7973-5314</t>
  </si>
  <si>
    <t>0142-9612</t>
  </si>
  <si>
    <t>1878-5905</t>
  </si>
  <si>
    <t>10.1016/j.biomaterials.2012.06.063</t>
  </si>
  <si>
    <t>WOS:000308269600029</t>
  </si>
  <si>
    <t>Ferrari, G; Bolados, CC; Suárez-Reyes, M; Farías-Valenzuela, C; Drenowatz, C; Marques, A; Pizarro, T</t>
  </si>
  <si>
    <t>Ferrari, Gerson; Cofre Bolados, Cristian; Suarez-Reyes, Monica; Farias-Valenzuela, Claudio; Drenowatz, Clemens; Marques, Adilson; Pizarro, Tito</t>
  </si>
  <si>
    <t>Association of physical activity, muscular strength, and obesity indicators with self-concept in Chilean children</t>
  </si>
  <si>
    <t>Objectives: the present study examined the association of physical activity, muscular strength, and obesity indicators with self-concept in Chilean children.Methods: this cross-sectional study included 1078 Chilean children (mean age: 9.1 years [standard deviation: 1.1]; 598 boys). Physical activity was evaluated using the Physical Activity Questionnaire for Older Children. Upper and lower limb strength was evaluated using a digital dynamom-eter and standing long jump performance, respectively. The general strength index was calculated based on z-score values. Obesity indicators used were height, weight, body mass index, and body fat. The self-concept test was used to determine the academic, social, emotional, family, physical self-concept dimensions and total self-concept of children.Results: the mean total self-concept was 3.3 (standard deviation: 0.5). Physical activity was associated with academic (j3: 0.32; p = 0.03), social (j3: 0.24; p = 0.04), family (j3: 0.13; p = 0.01), physical (j3: 0.46; p = 0.01) self-concept dimensions and total self-concept (j3: 0.22; p = 0.01), regardless of sex and age. Upper limb strength and general strength index were negatively associated with academic self-concept dimensions (j3:-0.02; p = 0.01 and j3:-0.13; p = 0.02) and total self-concept (j3:-0.04; p = 0.01). Body weight and body mass index were negatively associated with academic (j3:-0.01; p = 0.01 and j3:-0.01; p = 0.02) and physical self-concept dimensions (j3:-0.03; p = 0.03).Conclusions: these findings suggest that physical activity is positively related with self-concept. Thus, physical activity and self-percept must be considered as an essential social cognitive perspective to provide suitable mental health in children.</t>
  </si>
  <si>
    <t>Pizarro, Tito/AAY-2260-2021; Suarez-Reyes, Monica/JQV-9348-2023; Ferrari, Gerson/HHM-6173-2022; Ferrari, Gerson/P-1152-2014; Marques, Adilson/K-4529-2014</t>
  </si>
  <si>
    <t>Ferrari, Gerson/0000-0003-3177-6576; pizarro, tito/0000-0002-2514-0072; Marques, Adilson/0000-0001-9850-7771; Suarez-Reyes, Monica/0000-0002-5663-4673</t>
  </si>
  <si>
    <t>10.20960/nh.04061</t>
  </si>
  <si>
    <t>WOS:000878607900004</t>
  </si>
  <si>
    <t>Fuertes, G; Alfaro, M; Vargas, M; Gutierrez, S; Ternero, R; Sabattin, J</t>
  </si>
  <si>
    <t>Fuertes, Guillermo; Alfaro, Miguel; Vargas, Manuel; Gutierrez, Sebastian; Ternero, Rodrigo; Sabattin, Jorge</t>
  </si>
  <si>
    <t>Conceptual Framework for the Strategic Management: A Literature Review-Descriptive</t>
  </si>
  <si>
    <t>JOURNAL OF ENGINEERING</t>
  </si>
  <si>
    <t>The objective of this work is to review the literature of the main concepts that lead to determining the strategic approach, creation of strategies, organizational structures, strategy formulation, and strategic evaluation as a guide for the organizational management, taking into account the effects produced by the different types of strategies on the performance of organizations. In this article, the systemic literature review method was used to synthesize the result of multiple investigations and scientific literature. The process of reading and analysis of the literature was carried out through digital search engines with keywords in areas related to the strategic management. This research reveals the lack of scientific literature containing important theoretical concepts that serve the strategists as a guide in the creation, formulation, and evaluation of strategies. This review contributes to the existing literature by examining the impact of the strategic management on the organizational performance.</t>
  </si>
  <si>
    <t>vargas, manuel/AAG-4780-2020; Sabattin, Jorge/P-2589-2019; Fuertes, Guillermo/Q-2341-2016</t>
  </si>
  <si>
    <t>Vargas Guzman, Manuel Eduardo/0000-0003-4161-6621; Fuertes, Guillermo/0000-0003-3044-5919; Gutierrez Lillo, Sebastian/0000-0003-3714-0632; Ternero Saavedra, Rodrigo/0000-0002-6075-6657; Alfaro, Miguel/0000-0002-1633-8853</t>
  </si>
  <si>
    <t>2314-4912</t>
  </si>
  <si>
    <t>2314-4904</t>
  </si>
  <si>
    <t>JAN 30</t>
  </si>
  <si>
    <t>10.1155/2020/6253013</t>
  </si>
  <si>
    <t>WOS:000514426900001</t>
  </si>
  <si>
    <t>Corujo, J; Flores-Peñaloza, D; Huemer, C; Pérez-Lantero, P; Seara, C</t>
  </si>
  <si>
    <t>Rahman, MS; Sadakane, K; Sung, WK</t>
  </si>
  <si>
    <t>Corujo, Josue; Flores-Penaloza, David; Huemer, Clemens; Perez-Lantero, Pablo; Seara, Carlos</t>
  </si>
  <si>
    <t>Matching Random Colored Points with Rectangles</t>
  </si>
  <si>
    <t>WALCOM: ALGORITHMS AND COMPUTATION (WALCOM 2020)</t>
  </si>
  <si>
    <t>Lecture Notes in Computer Science</t>
  </si>
  <si>
    <t>14th International Conference and Workshops on Algorithms and Computation (WALCOM)</t>
  </si>
  <si>
    <t>MAR 31-APR 02, 2020</t>
  </si>
  <si>
    <t>Natl Univ Singapore, Inst Math Sci, Singapore, SINGAPORE</t>
  </si>
  <si>
    <t>Natl Univ Singapore, Sch Comp,Informat Proc Soc Japan, Special Interest Grp ALgorithms,Inst Elect Informat &amp; Commun Engineers, Tech Comm Theoret Fdn Comp</t>
  </si>
  <si>
    <t>Natl Univ Singapore, Inst Math Sci</t>
  </si>
  <si>
    <t>Let S subset of [0, 1](2) be a set of n points, randomly and uniformly selected. Let R boolean OR B be a random partition, or coloring, of S in which each point of S is included in R uniformly at random with probability 1/2. We study the random variable M(n) equal to the number of points of S that are covered by the rectangles of a maximum strong matching of S with axis-aligned rectangles. The matching consists of closed rectangles that cover exactly two points of S of the same color. A matching is strong if all its rectangles are pairwise disjoint. We prove that almost surely M(n) &gt;= 0.83 n for n large enough. Our approach is based on modeling a deterministic greedy matching algorithm, that runs over the random point set, as a Markov chain.</t>
  </si>
  <si>
    <t>Seara, Carlos/Z-3370-2019; Huemer, Clemens/I-1046-2015</t>
  </si>
  <si>
    <t>Corujo, Josue/0000-0002-3997-7391; Huemer, Clemens/0000-0001-7557-0823</t>
  </si>
  <si>
    <t>0302-9743</t>
  </si>
  <si>
    <t>1611-3349</t>
  </si>
  <si>
    <t>978-3-030-39881-1; 978-3-030-39880-4</t>
  </si>
  <si>
    <t>10.1007/978-3-030-39881-1_22</t>
  </si>
  <si>
    <t>WOS:000663418900022</t>
  </si>
  <si>
    <t>Guajardo, J; Ibañez, A; Guerchais, V; Vega, A; Moya, S; Aguirre, P</t>
  </si>
  <si>
    <t>Guajardo, Juana; Ibanez, Andres; Guerchais, Veronique; Vega, Andres; Moya, Sergio; Aguirre, Pedro</t>
  </si>
  <si>
    <t>Ruthenium(II)-carbonyl complexes containing two N-monodentate 1,8-naphthyridine ligands: active catalysis in transfer hydrogenation reactions</t>
  </si>
  <si>
    <t>ACTA CRYSTALLOGRAPHICA SECTION C-STRUCTURAL CHEMISTRY</t>
  </si>
  <si>
    <t>The reaction of 2-aminonicotinaldehyde with 2- or 4-methoxyacetophenone in basic media leads to the new ligands 2-(4-methoxyphenyl)-1,8-naphthyridine and 2-(2-methoxyphenyl)-1,8-naphthyridine, respectively, in high yield. The reaction of these naphthyridine derivatives with [RuCl2(CO)(2)](n) leads to the respective complexes cis-dicarbonyldichloridobis[2-(4-methoxyphenyl)-1,8-naphthyridine-kappa N-8]ruthenium(II) and cis-dicarbonyldichloridobis[2-(2-methoxyphenyl)-1,8-naphthyridine-kappa N-8]ruthenium(II), both [RuCl2(C15H12N2O)(2)(CO)(2)], in good yield. Both ruthenium(II) complexes display a slightly distorted octahedron with two cis carbonyl, two cis chloride and two cis naphthyridine ligands, the latter coordinated in a monodentate fashion through the N atom in the 8-position. Both complexes exhibit a moderate catalytic activity in the hydrogen-transfer reaction from propan-2-ol to acetophenone in the presence of a base, with 100% selectivity.</t>
  </si>
  <si>
    <t>Guerchais, Veronique/D-6471-2017; Moya, Sergio/I-1446-2015; Vega, Andres/B-2122-2010</t>
  </si>
  <si>
    <t>Vega, Andres/0000-0001-6501-4161</t>
  </si>
  <si>
    <t>2053-2296</t>
  </si>
  <si>
    <t>+</t>
  </si>
  <si>
    <t>10.1107/S2053229618014201</t>
  </si>
  <si>
    <t>WOS:000449511500043</t>
  </si>
  <si>
    <t>García-Hermoso, A; Cavero-Redondo, I; Ramírez-Vélez, R; Ruiz, JR; Ortega, FB; Lee, DC; Martínez-Vizcaíno, V</t>
  </si>
  <si>
    <t>Garcia-Hermoso, Antonio; Cavero-Redondo, Ivan; Ramirez-Velez, Robinson; Ruiz, Jonatan R.; Ortega, Francisco B.; Lee, Duck-Chul; Martinez-Vizcaino, Vicente</t>
  </si>
  <si>
    <t>Muscular Strength as a Predictor of All-Cause Mortality in an Apparently Healthy Population: A Systematic Review and Meta-Analysis of Data From Approximately 2 Million Men and Women</t>
  </si>
  <si>
    <t>ARCHIVES OF PHYSICAL MEDICINE AND REHABILITATION</t>
  </si>
  <si>
    <t>Objectives: The aims of the present systematic review and meta-analysis were to determine the relationship between muscular strength and all cause mortality risk and to examine the sex-specific impact of muscular strength on all-cause mortality in an apparently healthy population. Data Sources: Two authors systematically searched MEDLINE, EMBASE and SPORTDiscus databases and conducted manual searching of reference lists of selected articles. Study Selection: Eligible cohort studies were those that examined the association of muscular strength with all-cause mortality in an apparently healthy population. The hazard ratio (HR) estimates with 95% confidence interval (CI) were pooled by using random effects meta-analysis models after assessing heterogeneity across studies. Data Extraction: Two authors independently extracted data. Data Synthesis: Thirty-eight studies with 1,907,580 participants were included in the meta-analysis. The included studies had a total of 63,087 deaths. Higher levels of handgrip strength were associated with a reduced risk of all-cause mortality (HR = 0.69; 95% CI, 0.64-0.74) compared with lower muscular strength, with a slightly stronger association in women (HR = 0.60; 95% CI, 0.51-0.69) than men (HR=0.69; 95% CI, 0.62-0.77) (all P&lt;.001). Also, adults with higher levels of muscular strength, as assessed by knee extension strength test, had a 14% lower risk of death (HR=0.86: 95% CI, 0.80-0.93; P&lt;.001) compared with adults with lower muscular strength. Conclusions: Higher levels of upper- and lower-body muscular strength are associated with a lower risk of mortality in adult population, regardless of age and follow-up period. Muscular strength tests can be easily performed to identify people with lower muscular strength and, consequently, with an increased risk of mortality. (C) 2018 by the American Congress of Rehabilitation Medicine</t>
  </si>
  <si>
    <t>VIZCAINO, VICENTE/R-4336-2017; Cavero-Redondo, Ivan/R-4818-2019; RUIZ, JONATAN/M-1338-2015; García-Hermoso, Antonio/ADU-2591-2022; Garcia-Hermoso, Antonio/P-1857-2017; Ortega, Francisco B/B-4002-2010; Ramirez-Velez, Robinson/D-5311-2016</t>
  </si>
  <si>
    <t>Garcia-Hermoso, Antonio/0000-0002-1397-7182; Ortega, Francisco B/0000-0003-2001-1121; Ramirez-Velez, Robinson/0000-0003-3075-6960; Cavero-Redondo, Ivan/0000-0003-2617-0430</t>
  </si>
  <si>
    <t>0003-9993</t>
  </si>
  <si>
    <t>1532-821X</t>
  </si>
  <si>
    <t>10.1016/j.apmr.2018.01.008</t>
  </si>
  <si>
    <t>WOS:000447245600017</t>
  </si>
  <si>
    <t>Aranda, B; Aguirre, P; Moya, SA; Bonneau, M; Williams, JAG; Toupet, L; Escadeillas, M; Le Bozec, H; Guerchais, V</t>
  </si>
  <si>
    <t>Aranda, Braulio; Aguirre, Pedro; Moya, Sergio A.; Bonneau, Mickaele; Williams, J. A. Gareth; Toupet, Loic; Escadeillas, Muriel; Le Bozec, Hubert; Guerchais, Veronique</t>
  </si>
  <si>
    <t>Luminescent bis-cyclometallated iridium(III) complexes containing phosphine-based ligands: Influence of the PN bridge</t>
  </si>
  <si>
    <t>POLYHEDRON</t>
  </si>
  <si>
    <t>Three cationic bis-cyclometallated iridium complexes [Ir(CAN-ppYMe)2(PAN)1[PF61(1-3) with 4-methyl2-phenylpyridine (ppyMe) as the CAN-cyclometallated ligands and 8-(diphenylphosphino)quinoline (Ph2Pqn, L1), 2-(diphenylphosphinoarhino)pyridine (Ph2PNHpy, L2) or 2-(diphenylphosphinoamino) PYrimidine (Ph2PNHPYrn, la) as PAN-ligands, were prepared, and their crystal structures and photoluminescence were investigated. The substitution of an aromatic CAr (of a quinolyl group) by an NH bridge between the phosphine and imine ligating units of the PAN ligand dramatically changes the luminescence characteristics of the resulting complexes. The complexes 2-3 featuring the P-NH-N ligand emit in the blue region, whereas complex 1 incorporating the P-CAr--N unit displays orange photoluminescence. (C) 2014 Elsevier Ltd. All rights reserved.</t>
  </si>
  <si>
    <t>; Guerchais, Veronique/D-6471-2017; Williams, J A Gareth/F-6618-2012</t>
  </si>
  <si>
    <t>Aranda, Braulio/0000-0001-6260-3374; Bonneau, Mickaele/0000-0001-8859-1973; Guerchais, Veronique/0000-0003-4821-3817; Williams, J A Gareth/0000-0002-4688-3000</t>
  </si>
  <si>
    <t>0277-5387</t>
  </si>
  <si>
    <t>JAN 28</t>
  </si>
  <si>
    <t>10.1016/j.poly.2014.06.027</t>
  </si>
  <si>
    <t>WOS:000348955200017</t>
  </si>
  <si>
    <t>Vivas, LG; Vazquez, M; Escrig, J; Allende, S; Altbir, D; Leitao, DC; Araujo, JP</t>
  </si>
  <si>
    <t>Vivas, L. G.; Vazquez, M.; Escrig, J.; Allende, S.; Altbir, D.; Leitao, D. C.; Araujo, J. P.</t>
  </si>
  <si>
    <t>Magnetic anisotropy in CoNi nanowire arrays: Analytical calculations and experiments</t>
  </si>
  <si>
    <t>Ordered arrays of CoxNi1-x nanowires (0 &lt; x &lt; 1) were fabricated by a template-assisted method using electrodeposition into anodic aluminum oxide membranes. Tuning of the Co-alloy composition by changing the Ni content enables control of the effective anisotropy axis, which is determined by the balance between the hcp and fcc magnetocrystalline and shape anisotropies. We report on the nanowires' structural and magnetic properties (e. g., hysteresis curves and their parameters as well as first-order reversal curve analysis), paying particular attention to their angular dependence. It is confirmed that the crystal phase of nanowires with length 2.5 mu m and diameter 35 nm shifts from hcp to fcc as the Ni content increases. That results in a significant modification of the magnetization process and, accordingly, of the magnetic properties of the array. Analytical calculations of the angular dependence of the coercivity allow us to confirm that the magnetization reversal is mostly ascribed to the propagation of a transverse domain wall. Fitting of the experiment to these calculations indicates the presence of a transverse crystalline anisotropy (ascribed to the hcp phase) in Co wires, while this changes to an axial anisotropy (fcc phase) as the Ni content increases.</t>
  </si>
  <si>
    <t>Vázquez, Manuel/A-6370-2011; Gonzalez Vivas, Laura/ABA-1422-2020; Esteves de Araujo, Joao Pedro/D-4389-2011; Gonzalez Vivas, Laura/H-7054-2013; Altbir, Dora/R-6781-2018; Escrig, Juan/N-4304-2015; Leitao, Diana/C-5125-2009</t>
  </si>
  <si>
    <t>Esteves de Araujo, Joao Pedro/0000-0002-1646-7727; Gonzalez Vivas, Laura/0000-0002-0536-030X; Altbir, Dora/0000-0002-2945-4909; Vazquez Villalabeitia, Manuel/0000-0001-5591-0157; Escrig, Juan/0000-0002-3958-8185; Leitao, Diana/0000-0001-8419-2967</t>
  </si>
  <si>
    <t>JAN 24</t>
  </si>
  <si>
    <t>10.1103/PhysRevB.85.035439</t>
  </si>
  <si>
    <t>WOS:000299425900004</t>
  </si>
  <si>
    <t>Cortinez-O'Ryan, A; Osica, LR; Suárez-Reyes, M; Fuentes-García, A; Quevedo, TP; Rodríguez, FR; Cristi-Montero, C; Sadarangani, KP; Ibarra-Mora, J; Soto-Lagos, RA; Zamora, JL; Aguilar-Farias, N</t>
  </si>
  <si>
    <t>Cortinez-O'Ryan, Andrea; Osica, Lorena Rodriguez; Suarez-Reyes, Monica; Fuentes-Garcia, Alejandra; Quevedo, Tito Pizarro; Rodriguez, Fernando Rodriguez; Cristi-Montero, Carlos; Sadarangani, Kabir P.; Ibarra-Mora, Jessica; Soto-Lagos, Rodrigo A.; Zamora, Jaime Leppe; Aguilar-Farias, Nicolas</t>
  </si>
  <si>
    <t>Physical Activity: The Overlooked Public Policy</t>
  </si>
  <si>
    <t>REVISTA MEDICA DE CHILE</t>
  </si>
  <si>
    <t>Suarez-Reyes, Monica/JQV-9348-2023; Pizarro, Tito/AAY-2260-2021; Cristi-Montero, Carlos/AAE-4945-2020; C, Andrea/ISB-2574-2023; Aguilar-Farias, Nicolas/V-2742-2018; Soto-Lagos, Rodrigo/JSK-1539-2023</t>
  </si>
  <si>
    <t>SOTO-LAGOS, RODRIGO/0000-0002-3564-8419</t>
  </si>
  <si>
    <t>0034-9887</t>
  </si>
  <si>
    <t>0717-6163</t>
  </si>
  <si>
    <t>10.4067/s0034-98872024000700840</t>
  </si>
  <si>
    <t>WOS:001358098900011</t>
  </si>
  <si>
    <t>Cid, V; Vargas, C; Delgado, I; Apablaza, M; Shiels, MS; Hildesheim, A; Koshiol, J; Ferreccio, C</t>
  </si>
  <si>
    <t>Cid, Vicente; Vargas, Claudio; Delgado, Iris; Apablaza, Mauricio; Shiels, Meredith S.; Hildesheim, Allan; Koshiol, Jill; Ferreccio, Catterina</t>
  </si>
  <si>
    <t>Gallbladder cancer mortality in Chile: Has the government program targeting young gallstone patients had an impact?</t>
  </si>
  <si>
    <t>AMERICAN JOURNAL OF EPIDEMIOLOGY</t>
  </si>
  <si>
    <t>Hildesheim, Allan/B-9760-2015; Apablaza, Mauricio/G-7589-2016; Koshiol, Jill/L-8686-2014</t>
  </si>
  <si>
    <t>Koshiol, Jill/0000-0002-3832-6204</t>
  </si>
  <si>
    <t>0002-9262</t>
  </si>
  <si>
    <t>1476-6256</t>
  </si>
  <si>
    <t>JUN 27</t>
  </si>
  <si>
    <t>10.1093/aje/kwae027</t>
  </si>
  <si>
    <t>WOS:001255379400001</t>
  </si>
  <si>
    <t>Dunn, L; Melatos, A; Espinoza, CM; Antonopoulou, D; Dodson, R</t>
  </si>
  <si>
    <t>Dunn, L.; Melatos, A.; Espinoza, C. M.; Antonopoulou, D.; Dodson, R.</t>
  </si>
  <si>
    <t>A new small glitch in Vela discovered with a hidden Markov model</t>
  </si>
  <si>
    <t>MONTHLY NOTICES OF THE ROYAL ASTRONOMICAL SOCIETY</t>
  </si>
  <si>
    <t>A striking feature of the Vela pulsar (PSR J0835 -4510) is that it undergoes sudden increases in its spin frequency, known as glitches, with a fractional amplitude of the order of 10(-6) approximately every 900 d. Glitches of smaller magnitudes are also known to occur in Vela. Their distribution in both time and amplitude is less well constrained but equally important for understanding the physical process underpinning these events. In order to better understand these small glitches in Vela, an analysis of high-cadence observations from the Mount Pleasant Observatory is presented. A hidden Markov model (HMM) is used to search for small, previously undetected glitches across 24 yr of observations co v ering MJD 44929 to MJD 53647. One previously unknown glitch is detected around MJD 48636 (1992 January 15), with fractional frequency jump Delta f/f= (8.19 +/- 0.04) x 10(-10) and frequency deri v ati ve jump Delta&lt;(f)over dot&gt;/&lt;(f)over dot&gt; = (2 . 98 +/- 0 . 01) x 10 (-4) . Two previously reported small glitches are also confidently redetected, and independent estimates of their parameters are reported. Excluding these events, 90 per cent confidence frequentist upper limits on the sizes of missed glitches are also set, with a median upper limit of A Delta f(90%)/f = 1.35 x 10 (-9). Upper limits of this kind are enabled by the semi-automated and computationally efficient nature of the HMM, and are crucial to informing studies that are sensitive to the lower end of the glitch size distribution.</t>
  </si>
  <si>
    <t>Espinoza, Cristobal/U-4428-2017; Dodson, Richard/H-9100-2014</t>
  </si>
  <si>
    <t>Espinoza, Cristobal/0000-0003-2481-2348; Dodson, Richard/0000-0003-0392-3604; Dunn, Liam/0000-0002-1769-6097</t>
  </si>
  <si>
    <t>0035-8711</t>
  </si>
  <si>
    <t>1365-2966</t>
  </si>
  <si>
    <t>MAY 11</t>
  </si>
  <si>
    <t>10.1093/mnras/stad1335</t>
  </si>
  <si>
    <t>WOS:000999221000016</t>
  </si>
  <si>
    <t>Aburto, MJ; Romero, D; Rezende, LFM; Sanchez, ZM; Bolados, CC; Guzmán-Habinger, J; Rios, M; Suárez-Reyes, M; Marques, A; Drenowatz, C; Cristi-Montero, C; Ferrari, G</t>
  </si>
  <si>
    <t>Aburto, Maria Jose; Romero, Dayna; Rezende, Leandro F. M.; Sanchez, Zila M.; Cofre Bolados, Cristian; Guzman-Habinger, Juan; Rios, Mario; Suarez-Reyes, Monica; Marques, Adilson; Drenowatz, Clemens; Cristi-Montero, Carlos; Ferrari, Gerson</t>
  </si>
  <si>
    <t>Prevalence and co-occurrence of lifestyle risk factors for non-communicable diseases according to sociodemographic characteristics among adults Chilean residents</t>
  </si>
  <si>
    <t>To examine the prevalence and co-occurrence of lifestyle risk factors for non-communicable diseases (NCDs) according to sociodemographic characteristics in Chilean residents. A cross-sectional study based on data from 5995 adults from the Chilean National Health Survey. The lifestyle risk factors included were physical inactivity, tobacco consumption, alcohol consumption, low fruits and vegetable consumption, and overweight/obesity. The most frequent risk factor was overweight/obesity (75.6%), followed by alcohol consumption (74.8%), low fruits and vegetable consumption (51.7%), physical inactivity (36.3%), and tobacco consumption (27.9%). Only 1.0% of the participants did not present any risk factor, while 9.6%, 30.4%, 34.0%, 20.3%, and 4.7% accumulated one, two, three, four, and five risk factors. Men (OR 1.56; 95% CI 1.18; 2.04), people who have secondary education (OR 1.59; 95% CI 1.20; 2.10), and those with lower household income (OR 1.39; 95% CI 1.09; 1.59) had higher odds of three or more risk factors. Associations were inverse for older adults (OR 0.57; 95% CI 0.41; 0.79) and rural geographic areas (OR 0.77; 95% CI 0.67; 0.89). The prevalence of risk factors for NCDs is fairly high in Chilean residents. Interventions may need to target these co-occurrences rather than emphasizing individual risk factors for NCDs. Interventions could further consider these co-occurrences as a potential target for population stratification.</t>
  </si>
  <si>
    <t>Suárez- Reyes, Mónica/GYE-3153-2022; Ferrari, Gerson/ABG-6635-2021; Cristi-Montero, Carlos/AAE-4945-2020; Sanchez, Zila/AAA-2369-2019; Rezende, Leandro/C-1724-2012; Sanchez, Zila/F-7994-2010; Marques, Adilson/K-4529-2014; Ferrari, Gerson/P-1152-2014</t>
  </si>
  <si>
    <t>Rezende, Leandro/0000-0002-7469-1399; Sanchez, Zila/0000-0002-7427-7956; Marques, Adilson/0000-0001-9850-7771; Ferrari, Gerson/0000-0003-3177-6576; Guzman Habinger, Juan/0000-0003-2243-2528</t>
  </si>
  <si>
    <t>NOV 4</t>
  </si>
  <si>
    <t>10.1038/s41598-021-01167-9</t>
  </si>
  <si>
    <t>WOS:000714702000058</t>
  </si>
  <si>
    <t>Murali, G; Abid, SR; Karthikeyan, K; Haridharan, MK; Amran, M; Siva, A</t>
  </si>
  <si>
    <t>Murali, G.; Abid, Sallal R.; Karthikeyan, K.; Haridharan, M. K.; Amran, Mugahed; Siva, A.</t>
  </si>
  <si>
    <t>Low-velocity impact response of novel prepacked expanded clay aggregate fibrous concrete produced with carbon nano tube, glass fiber mesh and steel fiber</t>
  </si>
  <si>
    <t>CONSTRUCTION AND BUILDING MATERIALS</t>
  </si>
  <si>
    <t>Recent researches reported that expanded clay aggregate in concrete leads to a notable reduction in strength properties. Nevertheless, the impact response of PEAFC comprising expanded clay aggregate (ECA), multi-walled nano-carbon tubes (MWCNT), steel fiber (SF) and glass fiber mesh (GFM) is still unexamined. It is interesting to draw a sound conclusion regarding the impact response of concretes comprising these four materials. Prepacked expanded clay aggregate fibrous concrete (PEAFC) is a novel type of environmentally sustainable concrete. The development process of PEAFC comprises the following two crucial stages. Firstly, the expanded clay aggregate and fiber are prepacked into the framework in the form of a natural skeleton, followed by grout injection. The skeleton is filled with cement grout comprising multi-walled nano-carbon tubes (MWCNT) obtaining a novel PEAFC. This research investigates the impact response of PEAFC through the drop weight impact test. For this study, forty-one PEAFC mixtures were prepared and divided into five groups. The effect of GFM with different layers and diameters inserted between the two concrete layers was accompanied by incorporating 0.2% of MWCNT and 2.5% dosage of SF. All specimens were tested against drop weight impact according to the guidelines of ACI Committee 544. The studied parameters were the compressive strength, number of the impact causing first crack and failure, impact energy at first crack and failure in addition to impact ductility. Additionally, scanning electron microscopy was utilized to assess the cement grout's microstructural features. The results showed that increasing the diameter of the GFM in between the concrete layers covers a larger crack projection area, which better enhances the crack arresting potential and results in higher impact energy. The GFM diameter increase from 50 mm to 150 mm increased the cracking and failure impact numbers by 49 to 60% and 117 to 152%, respectively. The average percentage improvements in cracking and failure impact numbers due to SF were estimated to be 162 and 670%, respectively. Thus, the SF shared 71 to 96% of the total developments in impact resistance of all mixtures compared to the reference mixture. The addition of 0.2% of MWCNT could adequately fill the nano-pores and nano cracks resulted in a denser cement grout matrix. The steel fiber was found to be the reinforcement type that leads to the highest improvement contribution in the impact resistance of the tested PEAFC. Despite the use of light weight aggregate, the combined action of GFM, MWCNT and SF could enhance the impact strength of PEAFC. The outcome of this research is to deliver benchmark information for further research work on PEAFC under impact loading. (c) 2021 Elsevier Ltd. All rights reserved.</t>
  </si>
  <si>
    <t>Gunasekaran, Murali/J-8425-2019; Avudaiappan, Siva/AAV-7579-2021; M K, HARIDHARAN/AAE-9936-2019; K V, Kandaswamy Vasudevan Karthikeyan/HPB-5813-2023; amran, mugahed/AAW-4821-2020; Abid, Sallal/V-4820-2019</t>
  </si>
  <si>
    <t>AVUDAIAPPAN, SIVA/0000-0002-4289-4298; Abid, Sallal/0000-0002-4023-7382</t>
  </si>
  <si>
    <t>0950-0618</t>
  </si>
  <si>
    <t>1879-0526</t>
  </si>
  <si>
    <t>MAY 17</t>
  </si>
  <si>
    <t>10.1016/j.conbuildmat.2021.122749</t>
  </si>
  <si>
    <t>WOS:000644070300003</t>
  </si>
  <si>
    <t>Martínez-Torres, J; Correa-Bautista, JE; González-Ruíz, K; Vivas, A; Triana-Reina, HR; Prieto-Benavidez, DH; Carrillo, HA; Ramos-Sepúlveda, JA; Villa-González, E; García-Hermoso, A; Ramírez-Vélez, R</t>
  </si>
  <si>
    <t>Martinez-Torres, Javier; Enrique Correa-Bautista, Jorge; Gonzalez-Ruiz, Katherine; Vivas, Andres; Reynaldo Triana-Reina, Hector; Humberto Prieto-Benavidez, Daniel; Alejandro Carrillo, Hugo; Alexander Ramos-Sepulveda, Jeison; Villa-Gonzalez, Emilio; Garcia-Hermoso, Antonio; Ramirez-Velez, Robinson</t>
  </si>
  <si>
    <t>A Cross-Sectional Study of the Prevalence of Metabolic Syndrome and Associated Factors in Colombian Collegiate Students: The FUPRECOL-Adults Study</t>
  </si>
  <si>
    <t>INTERNATIONAL JOURNAL OF ENVIRONMENTAL RESEARCH AND PUBLIC HEALTH</t>
  </si>
  <si>
    <t>Metabolic syndrome (MetS) is one of the major public health problems worldwide. The objective of the present study is to investigate the prevalence and the associated variables of MetS in Colombian collegiate students. This cross-sectional study included a total of 890 (52% women) healthy collegiate students (21.3 +/- 3.2 years old). The prevalence of MetS was determined by the definition provided by the International Diabetes Federation (IDF). We further examined associations between the prevalence of MetS and related factors, such as age, gender, anthropometric and body composition, weight status, and nutrition profile. The overall prevalence of MetS was 6.0% (95% CI = 4.5% to 7.6%), and it was higher in men than women. The most prevalent components were low high-density lipoprotein cholesterol, high triglyceride levels, waist circumference, and blood pressure levels. The predisposing factors for having a MetS included: being male, over 23 years old, overweight or obese, and having an unhealthy waist-to-height ratio. In conclusion, the occurrence of MetS in young adults is substantial. These findings may be relevant to health promotion efforts for collegiate students in order to develop prospective studies and screening for young adults, which will aid in targeted intervention development to decrease cardiometabolic risk factors.</t>
  </si>
  <si>
    <t>García-Hermoso, Antonio/ADU-2591-2022; Triana-Reina, Héctor/JMP-5055-2023; González-Ruíz, Katherine/CAA-4624-2022; Correa-Bautista, Jorge Enrique/JDD-3131-2023; Correa-Bautista, Jorge Enrique/N-2741-2015; Ramirez-Velez, Robinson/D-5311-2016; Carrillo Arango, Hugo Alejandro/KUF-2175-2024; Villa-Gonzalez, Emilio/G-6421-2015; Garcia-Hermoso, Antonio/P-1857-2017</t>
  </si>
  <si>
    <t>Martinez Torres, Javier/0000-0001-8991-5079; Vivas, Andres/0000-0001-8169-1664; Correa-Bautista, Jorge Enrique/0000-0002-0646-2316; Ramos-Sepulveda, Jeison Alexander/0000-0003-2734-7912; TRIANA-REINA, HECTOR REYNALDO/0000-0002-6334-7082; Gonzalez-Ruiz, Katherine/0000-0001-7518-0761; Ramirez-Velez, Robinson/0000-0003-3075-6960; Carrillo Arango, Hugo Alejandro/0000-0001-6832-5379; Villa-Gonzalez, Emilio/0000-0002-2815-2060; Garcia-Hermoso, Antonio/0000-0002-1397-7182</t>
  </si>
  <si>
    <t>1660-4601</t>
  </si>
  <si>
    <t>10.3390/ijerph14030233</t>
  </si>
  <si>
    <t>WOS:000398524100016</t>
  </si>
  <si>
    <t>Ruiz, A; Gisbert, E; Estevez, A; Reyes-López, FE; Vallejos-Vidal, E; Tort, L; Dias, J; Engrola, S; Magalha, S; Aires, T; Morais, S</t>
  </si>
  <si>
    <t>Ruiz, Alberto; Gisbert, Enric; Estevez, Alicia; Reyes-Lopez, Felipe E.; Vallejos-Vidal, Eva; Tort, Lluis; Dias, Jorge; Engrola, Sofia; Magalha, Sara; Aires, Tiago; Morais, Sofia</t>
  </si>
  <si>
    <t>Strategy combining mammalian fats with supplementation of pungent spices in aquafeeds, to mitigate negative impacts of fish oil replacement in fish performance, fillet quality and hepatic condition of gilthead seabream ( Sparus aurata )</t>
  </si>
  <si>
    <t>AQUACULTURE</t>
  </si>
  <si>
    <t>The replacement of fish oil (FO) in aquafeeds usually leads to imbalances in the dietary content of n-3 and n-6 polyunsaturated fatty acids (PUFA), with negative consequences for fish performance, health, and fillet quality. Animal-rendered fats are an alternative lipid source high in saturated fatty acids, potentially sparing n-3 PUFA from oxidation, and with lower n-6 PUFA contents than plant-based oils, especially in the case of mammalian fats (MF). Hence, this work assessed the effect of replacing 45% FO by MF (negative control, NC) compared to a diet containing only FO (positive control, PC) in gilthead seabream ( Sparus aurata , initial body weight: 85 +/- 4 g, mean +/- standard deviation) at low water temperature. In addition, we studied the effect of supplementing the NC diet with a combination of pungent spices with hypolipidemic and anti-inflammatory properties at three inclusion levels: 0.05 (SPICY 0.05% ), 0.1 (SPICY 0.1% ), and 0.15% (SPICY 0.15% ). At the end of the trial (112 days), FO substitution by MF led to poorer fish performance in terms of body weight (BW), specific growth rate (SGR), feed conversion ratio (FCR), and protein efficiency ratio (PER). Supplementation of the NC diet with spices numerically improved SGR, FCR and PER at all inclusion levels (non-significantly different from the PC group), being FCR and PER significantly different from the NC group in the SPICY 0.1% and SPICY 0.15% treatments. A remarkable increase in lipid level was observed in fillets of fish fed the NC diet, but was fully counteracted by spice supplementation, especially in fish fed the SPICY 0.15% diet. A lower fat accumulation was also found in the liver of fish fed the SPICY 0.1% and SPICY 0.15% diets, with respect to the PC and NC groups. The fillets' fatty acid profile mostly reflected the diet composition, but the SPICY 0.15% diet modified it in an inverse direction to that observed in the NC, to more closely resemble the profile of fish fed the PC diet. In particular, the SPICY 0.15% diet reduced fillet levels of MUFA, linoleic and linolenic acids, and increased n-3 LC-PUFA (including EPA and DHA), compared to the NC. A microarray-based transcriptomic analysis revealed a better hepatic health status, as indicated by different biological processes associated to immunity. Overall, supplementation with the combination of pungent spices at 0.15% enabled the incorporation of alternative lipid sources, such as MF, in aquafeeds without significantly compromising growth and feeding performance, liver health, and quality of the edible product.</t>
  </si>
  <si>
    <t>Reyes-López, Felipe/S-1760-2018; Estevez, Alicia/AAE-1471-2021; Tort, Lluis/H-5650-2011; Morais, Sofia/D-8921-2011; Dias, Jorge/AAW-6580-2020; Gisbert, Enric/B-3654-2011; Estevez, Alicia/K-7863-2014; Vallejos-Vidal, Eva/R-9606-2019; Engrola, Sofia/A-2485-2012</t>
  </si>
  <si>
    <t>Reyes-Lopez, Felipe E./0000-0002-5001-457X; Estevez, Alicia/0000-0002-7776-0521; Vallejos-Vidal, Eva/0000-0002-3091-2700; Engrola, Sofia/0000-0002-5244-5541</t>
  </si>
  <si>
    <t>0044-8486</t>
  </si>
  <si>
    <t>1873-5622</t>
  </si>
  <si>
    <t>10.1016/j.aquaculture.2024.741284</t>
  </si>
  <si>
    <t>WOS:001265439100001</t>
  </si>
  <si>
    <t>Barria-Asenjo, NA; Scholten, H; Pavon-Cuéllar, D; Letelier, SA; Acosta, JG; Camargo-Castillo, J; Muñoz, FAV; Kargodorian, S; Ayala-Colqui, J</t>
  </si>
  <si>
    <t>Barria-Asenjo, Nicol A.; Scholten, Hernan; Pavon-Cuellar, David; Letelier, S. Antonio; Acosta, Jairo Gallo; Camargo-Castillo, Javier; Munoz, Francisco Alejandro Vergara; Kargodorian, Silvia; Ayala-Colqui, Jesus</t>
  </si>
  <si>
    <t>Badiou(s): Views on a Kaleidoscopic Life</t>
  </si>
  <si>
    <t>RES PUBLICA-REVISTA DE FILOSOFIA POLITICA</t>
  </si>
  <si>
    <t>Referring to multiplicity is a commonplace when it comes to Alain Badiou's work, since it is a production of a notorious complexity and the exploration of its various facets is to enter a universe of multiple dimensions. In this sense, it is proposed to compare his production with a kaleidoscope, an artifact that reveals multiplicity as the essence of unity and, at the same time, confers meaning to that diversity. This kaleidoscopic multiplicity is not limited only to the figure of the intellectual and his writings, but expands into other spheres. Indeed, when analyzing his early works and the beginnings of his intellectual trajectory, the influence of Sartre becomes evident, as well as his later connections with French structuralism and, in particular, with the figure of Louis Althusser. On the other hand, it is interesting to note here that Badiou's productions, far from being enclosed in academic debates, are intertwined with topics such as the question of love, which is directly connected with the rest of his theoretical and political reflections. Thus, it is of interest here to appreciate this particular intersection that allows a deeper understanding of his thought and his radical concern for the social.</t>
  </si>
  <si>
    <t>Ayala-Colqui, Jesús/JCO-7738-2023; Pavón-Cuéllar, David/AAI-1882-2020</t>
  </si>
  <si>
    <t>Ayala-Colqui, Jesus/0000-0002-9059-5401</t>
  </si>
  <si>
    <t>1576-4184</t>
  </si>
  <si>
    <t>1989-6115</t>
  </si>
  <si>
    <t>SEP-DEC</t>
  </si>
  <si>
    <t>10.5209/rpub.92235</t>
  </si>
  <si>
    <t>WOS:001178380700014</t>
  </si>
  <si>
    <t>Ramírez-Vélez, R; García-Hermoso, A; Agostinis-Sobrinho, C; Mota, J; Santos, R; Correa-Bautista, JE; Amaya-Tambo, DC; Villa-González, E</t>
  </si>
  <si>
    <t>Ramirez-Velez, Robinson; Garcia-Hermoso, Antonio; Agostinis-Sobrinho, Cesar; Mota, Jorge; Santos, Rute; Enrique Correa-Bautista, Jorge; Constanza Amaya-Tambo, Deisy; Villa-Gonzalez, Emilio</t>
  </si>
  <si>
    <t>Cycling to School and Body Composition, Physical Fitness, and Metabolic Syndrome in Children and Adolescents</t>
  </si>
  <si>
    <t>JOURNAL OF PEDIATRICS</t>
  </si>
  <si>
    <t>Objective To evaluate the association between cycling to/from school and body composition, physical fitness, and metabolic syndrome among a sample of Colombian children and adolescents. Study design During the 2014-2015 school year, we examined a cross-sectional component of the Association for muscular strength with early manifestation of cardiovascular disease risk factors among Colombian children and adolescents (FUPRECOL) study. Participants included 2877 youths (54.5% girls) from Bogota, Colombia. A self-reported questionnaire was used to measure the frequency and mode of commuting to school. Four components of physical fitness were measured: (1) anthropometric (height, weight, body mass index, and waist circumference); (2) musculoskeletal (handgrip and standing long jump test); (3) motor (speed-agility test; 4 x 10-meter shuttle run); and (4) cardiorespiratory (20-m shuttle run test [20mSRT]). The prevalence of metabolic syndrome was determined by the definitions provided by the International Diabetes Federation. Results Twenty-three percent of the sample reported commuting by cycle. Active commuting boys had a likelihood of having an unhealthy 4 x 10 m value (OR, 0.72; 95% CI, 0.53-0.98; P = .038) compared with the reference group (passive commuters). Active commuting girls showed a lower likelihood of having unhealthy a 20mSRT value (OR, 0.81; 95% CI, 0.56-0.99; P = .047) and metabolic syndrome (OR, 0.61; 95% CI, 0.35-0.99; P = .048) compared with passive commuters. Conclusion Regular cycling to school may to be associated with better physical fitness and a lower incidence of metabolic syndrome than passive transport, especially in girls.</t>
  </si>
  <si>
    <t>Correa-Bautista, Jorge Enrique/JDD-3131-2023; García-Hermoso, Antonio/ADU-2591-2022; Ramirez-Velez, Robinson/D-5311-2016; Agostinis Sobrinho, Cesar Aparecido/B-4971-2018; mota, jorge/B-2980-2013; Garcia-Hermoso, Antonio/P-1857-2017; Correa-Bautista, Jorge Enrique/N-2741-2015; Santos, Rute/A-6401-2012; Villa-Gonzalez, Emilio/G-6421-2015</t>
  </si>
  <si>
    <t>Ramirez-Velez, Robinson/0000-0003-3075-6960; Agostinis Sobrinho, Cesar Aparecido/0000-0001-9104-9042; mota, jorge/0000-0001-7571-9181; Garcia-Hermoso, Antonio/0000-0002-1397-7182; Correa-Bautista, Jorge Enrique/0000-0002-0646-2316; Santos, Rute/0000-0002-7604-5753; Villa-Gonzalez, Emilio/0000-0002-2815-2060</t>
  </si>
  <si>
    <t>0022-3476</t>
  </si>
  <si>
    <t>1097-6833</t>
  </si>
  <si>
    <t>10.1016/j.jpeds.2017.05.065</t>
  </si>
  <si>
    <t>WOS:000410641100015</t>
  </si>
  <si>
    <t>Haïat, G; Berti, R; Galaz, B; Taulier, N; Amman, JJ; Urbach, W</t>
  </si>
  <si>
    <t>Haiat, Guillaume; Berti, Romain; Galaz, Belfor; Taulier, Nicolas; Amman, Jean-Jacques; Urbach, Wladimir</t>
  </si>
  <si>
    <t>Two-dimensional simulation of linear wave propagation in a suspension of polymeric microcapsules used as ultrasound contrast agents</t>
  </si>
  <si>
    <t>JOURNAL OF THE ACOUSTICAL SOCIETY OF AMERICA</t>
  </si>
  <si>
    <t>A generation of tissue-specific stable ultrasound contrast agent (UCA) composed of a polymeric capsule with a perfluorocarbone liquid core has become available. Despite promising uses in clinical practice, the acoustical behavior of such UCA suspensions remains unclear. A simulation code (2-D finite-difference time domain, FDTD) already validated for homogeneous particles [Galaz Haiat, Berti, Taulier, Amman and Urbach, (2010). J. Acoust. Soc. Am. 127, 148-154] is used to model the ultrasound propagation in such UCA suspensions at 50 MHz to investigate the sensitivity of the ultrasonic parameters to physical parameters of UCA. The FDTD simulation code is validated by comparison with results obtained using a shell scatterer model. The attenuation coefficient (respectively, the sound velocity) increases (respectively, decreases) from 4.1 to 58.4 dB/cm (respectively, 1495 to 1428 m/s) when the concentration varies between 1.37 and 79.4 mg/ml, while the backscattered intensity increases non-linearly, showing that a concentration of around 30 mg/ml is sufficient to obtain optimal backscattering intensity. The acoustical parameters vary significantly as a function of the membrane thickness, longitudinal and transverse velocity, indicating that mode conversions in the membrane play an important role in the ultrasonic propagation. The results may be used to help manufacturers to conceive optimal liquid-filled UCA suspensions. (C) 2011 Acoustical Society of America. [DOI: 10.1121/1.3543966]</t>
  </si>
  <si>
    <t>Berti, Romain/B-9963-2008; TAULIER, Nicolas/C-3965-2011; URBACH, Wladimir/AAG-9004-2019</t>
  </si>
  <si>
    <t>TAULIER, Nicolas/0000-0003-1017-1068; URBACH, Wladimir/0000-0002-1673-6923</t>
  </si>
  <si>
    <t>0001-4966</t>
  </si>
  <si>
    <t>10.1121/1.3543966</t>
  </si>
  <si>
    <t>WOS:000289007000060</t>
  </si>
  <si>
    <t>Duch, R; Asiedu, E; Nakamura, R; Rouyard, T; Mayol, A; Barnett, A; Roope, L; Violato, M; Sowah, D; Kotlarz, P; Clarke, P</t>
  </si>
  <si>
    <t>Duch, Raymond; Asiedu, Edward; Nakamura, Ryota; Rouyard, Thomas; Mayol, Alberto; Barnett, Adrian; Roope, Laurence; Violato, Mara; Sowah, Dorcas; Kotlarz, Piotr; Clarke, Philip</t>
  </si>
  <si>
    <t>Financial incentives for COVID-19 vaccines in a rural low-resource setting: a cluster-randomized trial</t>
  </si>
  <si>
    <t>We implemented a clustered randomized controlled trial with 6,963 residents in six rural Ghana districts to estimate the causal impact of financial incentives on coronavirus disease 2019 (COVID-19) vaccination uptake. Villages randomly received one of four video treatment arms: a placebo, a standard health message, a high cash incentive (60 Ghana cedis) and a low cash incentive (20 Ghana cedis). For the first co-primary outcome-COVID-19 vaccination intentions-non-vaccinated participants assigned to the cash incentive treatments had an average rate of 81% (1,733 of 2,168) compared to 71% (1,895 of 2,669) for those in the placebo treatment arm. For the other co-primary outcome of self-reported vaccinations 2 months after the initial intervention, the average rate for participants in the cash treatment was 3.5% higher than for participants in the placebo treatment (95% confidence interval (CI): 0.001, 6.9; P = 0.045): 40% (602 of 1,486) versus 36.3% (672 of 1,850). We also verified vaccination status of participants: in the cash treatment arm, 36.6% (355 of 1,058) of verified participants had at least one dose of the COVID-19 vaccine compared to 30.3% (439 of 1,544) for those in the placebo-a difference of 6.3% (95% CI: 2.4, 10.2; P = 0.001). For the intention and the vaccination outcomes, the low cash incentive (20 Ghana cedis) had a larger positive effect on COVID-19 vaccine uptake than the high cash incentive (60 Ghana cedis). Trial identifier: AEARCTR-0008775. A four-arm cluster-randomized trial testing the effects of a low cash incentive, a high cash incentive, a health message and a placebo on COVID-19 vaccine uptake in villages in rural Ghana demonstrated highest uptake with a low cash incentive.</t>
  </si>
  <si>
    <t>Barnett, Adrian/I-9850-2012; Rouyard, Thomas/ABS-7744-2022</t>
  </si>
  <si>
    <t>Asiedu, Edward/0000-0003-0840-9233; Duch, Raymond/0000-0002-1166-7674; Violato, Mara/0000-0002-0484-7706; Barnett, Adrian/0000-0001-6339-0374; Clarke, Philip/0000-0002-7555-5348; Kotlarz, Piotr/0000-0003-1652-5082; Mayol Miranda, Alberto/0000-0002-2562-3285; Nakamura, Ryota/0000-0002-3217-6452; Roope, Laurence/0000-0001-9098-9331</t>
  </si>
  <si>
    <t>2023 NOV 27</t>
  </si>
  <si>
    <t>10.1038/s41591-023-02670-4</t>
  </si>
  <si>
    <t>NOV 2023</t>
  </si>
  <si>
    <t>WOS:001114781300001</t>
  </si>
  <si>
    <t>Ojeda-Aravena, A; Herrera-Valenzuela, T; Valdés-Badilla, P; Martin, EBS; Cancino-López, J; Azócar-Gallardo, J; Zapata-Bastias, J; Garcia-Garcia, JM</t>
  </si>
  <si>
    <t>Ojeda-Aravena, Alex; Herrera-Valenzuela, Tomas; Valdes-Badilla, Pablo; Martin, Eduardo Baez-San; Cancino-Lopez, Jorge; Azocar-Gallardo, Jairo; Zapata-Bastias, Jose; Garcia-Garcia, Jose Manuel</t>
  </si>
  <si>
    <t>Effects of High-Intensity Interval Training With Specific Techniques on Jumping Ability and Change of Direction Speed in Karate Athletes: An Inter-individual Analysis</t>
  </si>
  <si>
    <t>FRONTIERS IN PHYSIOLOGY</t>
  </si>
  <si>
    <t>This study investigated the effect of 4weeks of high-intensity interval training (HIIT) with specific techniques and analyzed inter-individual variability [classified in responders (Rs) and non-responders (NRs)] on jumping ability and change of direction speed (CODS) in youth karate athletes. Athletes of both genders (n=10) were randomly assigned into experimental group (EG; n=5) and the control group (CG; n=5). The EG trained 2-3days per week applying HIIT (three rounds [15 sets of 4s all-out specific efforts with 8s of dynamical pauses] with 3min of recovery between rounds) during their usual training during 4weeks. Assessments included squat jump (SJ) and countermovement jump (CMJ) and CODS by T-test. No significant interaction effect group by time was found. Although, in percentage and effect size (ES) terms increases were reported in both groups for SJ (EG: 15.2%, ES=0.91 vs. CG: 12.4%, ES=0.02) and only in EG for the T-test (-1.7%; ES=-0.35). In turn, a trend toward a higher proportion of Rs was observed in the EG (40% Rs) vs. CG (20% Rs) for SJ and CODS, respectively. In conclusion, the addition to regular training of a HIIT with specific techniques and based on the temporal combat structure after 4weeks was not a sufficient stimulus to increase jumping ability and CODS in karate athletes.</t>
  </si>
  <si>
    <t>Herrera-Valenzuela, Tomas/L-1819-2019; Cancino-López, Jorge/AAX-3079-2021; Azócar-Gallardo, Jairo/AAR-3785-2021; Ojeda Aravena, Alex/JRF-5369-2023; Báez, Eduardo/GWU-7673-2022</t>
  </si>
  <si>
    <t>Ojeda-Aravena, Alex/0000-0002-2406-9622; Valdes-Badilla, Pablo/0000-0002-3948-8280; Baez San Martin, Eduardo/0000-0002-3881-1015</t>
  </si>
  <si>
    <t>1664-042X</t>
  </si>
  <si>
    <t>NOV 18</t>
  </si>
  <si>
    <t>10.3389/fphys.2021.769267</t>
  </si>
  <si>
    <t>WOS:000727645100001</t>
  </si>
  <si>
    <t>Reyes-Ferrada, W; Solis-Urra, P; Plaza-Díaz, J; Sadarangani, KP; Ferrari, GLD; Rodríguez-Rodríguez, F; Cristi-Montero, C</t>
  </si>
  <si>
    <t>Reyes-Ferrada, Waleska; Solis-Urra, Patricio; Plaza-Diaz, Julio; Sadarangani, Kabir P.; de Moraes Ferrari, Gerson Luis; Rodriguez-Rodriguez, Fernando; Cristi-Montero, Carlos</t>
  </si>
  <si>
    <t>Cardiorespiratory Fitness, Physical Activity, Sedentary Time and Its Association with the Atherogenic Index of Plasma in Chilean Adults: Influence of the Waist Circumference to Height Ratio</t>
  </si>
  <si>
    <t>Atherogenic index of plasma (AIP) is a novel biomarker related to cardiovascular disease (CVD). Cardiorespiratory fitness (CRF) and physical activity (PA) have an inverse relationship with the AIP, while sedentary time (ST) and fatness present a positive association. This study aimed to determine the combined and independent association of CRF, PA, and ST with the AIP, and additionally to establish the waist-to-height ratio (WHtR) mediation role. Data from the Chilean national health survey were used (4671 adults). A PACS (Physical Activity Cardiorespiratory Sedentary) score was created ranging from 0 to 3, indicating the number of positive recommendations met (PA, ST, and CRF). AIP was calculated (Log10 triglycerides/high-density lipoprotein-cholesterol). The combined analysis showed that compared to those with a PACS score of 0, those with a score of 1 or 2 did not present significantly reduced AIP values (adjusted by the WHtR); however, those with a score of 3 did (OR (odds ratio) = 0.50; 95% CI, 0.32 to 0.77;p&lt; 0.001). Independent analysis showed that CRF seems to be the only variable that supports the combined result (beta = -0.212;p&lt; 0.001). Finally, the mediation analysis indicated that the WHtR mediated the association between CRF and the AIP in 34.2% of cases. Overall, only CRF had a significant and inverse association with the AIP. Nonetheless, around one-third of this beneficial relationship is affected by an elevated WHtR.</t>
  </si>
  <si>
    <t>Solis-Urra, Patricio/ABH-5748-2022; Ferrari, Gerson/ABG-6635-2021; Cristi-Montero, Carlos/AAE-4945-2020; Reyes-Ferrada, Waleska/CAA-0524-2022; RODRIGUEZ, FERNANDO/F-2842-2016; Plaza-Diaz, Julio/C-8094-2016; Ferrari, Gerson/P-1152-2014</t>
  </si>
  <si>
    <t>Reyes-Ferrada, Waleska/0000-0003-4065-8969; RODRIGUEZ, FERNANDO/0000-0002-4999-4857; Cristi-Montero, Carlos/0000-0002-9940-507X; Plaza-Diaz, Julio/0000-0002-5171-9408; Solis-Urra, Patricio/0000-0002-2493-9528; Ferrari, Gerson/0000-0003-3177-6576</t>
  </si>
  <si>
    <t>10.3390/nu12051250</t>
  </si>
  <si>
    <t>WOS:000542272700074</t>
  </si>
  <si>
    <t>Carrasco, S; Silva, J; Pino-Cortés, E; Gómez, J; Vallejo, F; Díaz-Robles, L; Campos, V; Cubillos, F; Pelz, S; Paczkowski, S; Cereceda-Balic, F; Vergara-Fernandez, A; Lapuerta, M; Pazo, A; Monedero, E; Hoekman, K</t>
  </si>
  <si>
    <t>Carrasco, Samuel; Silva, Javier; Pino-Cortes, Ernesto; Gomez, Jaime; Vallejo, Fidel; Diaz-Robles, Luis; Campos, Valeria; Cubillos, Francisco; Pelz, Stefan; Paczkowski, Sebastian; Cereceda-Balic, Francisco; Vergara-Fernandez, Albero; Lapuerta, Magin; Pazo, Amparo; Monedero, Esperanza; Hoekman, Kent</t>
  </si>
  <si>
    <t>Experimental Study on Hydrothermal Carbonization of Lignocellulosic Biomass with Magnesium Chloride for Solid Fuel Production</t>
  </si>
  <si>
    <t>PROCESSES</t>
  </si>
  <si>
    <t>The effect of magnesium chloride as an additive of hydrothermal carbonization (HTC) of lignocellulosic biomass (Pinus radiata sawdust) was studied. The HTC tests were carried out at fixed conditions of temperature and residence time of 220 degrees C and 1 h, respectively, and varying the dose of magnesium chloride in the range 0.0-1.0 g MgCl2/g biomass. The carbonized product (hydrochar) was tested in order to determine its calorific value (HHV) while using PARR 6100 calorimeter, mass yield by gravimetry, elemental analysis using a LECO TruSpec elemental analyzer, volatile matter content, and ash content were obtained by standardized procedures using suitable ovens for it. The results show that using a dose of 0.75 g MgCl2/g biomass results in an impact on the mass yield that was almost equal to change operating conditions from 220 to 270 degrees C and from 0.5 to 1 h, without additive. Likewise, the calorific value increases by 33% for this additive dose, resulting in an energy yield of 68%, thus generating a solid fuel of prominent characteristics.</t>
  </si>
  <si>
    <t>Pelz, Stefan/HMV-9809-2023; Cortés, Ernesto/Z-2777-2019; Vallejo, Fidel/AAM-6353-2020; Vergara-Fernández, Alberto/D-1770-2011; Lapuerta, Magin/F-3946-2016; Monedero Villalba, Maria Esperanza/C-9062-2016; Pazo, Amparo/R-4278-2017; Cereceda-Balic, Francisco/N-4479-2017</t>
  </si>
  <si>
    <t>Lapuerta, Magin/0000-0001-7418-1412; Vergara-Fernandez, Alberto/0000-0002-6075-9137; Pelz, Stefan/0000-0003-3205-7282; Vallejo, Fidel Ernesto/0000-0001-5835-298X; Monedero Villalba, Maria Esperanza/0000-0002-0288-7261; CUBILLOS, FRANCISCO/0000-0001-7863-4394; Pino-Cortes, Ernesto/0000-0001-5133-2812; Pazo, Amparo/0000-0002-5045-2596; Silva, Javier/0000-0001-6763-4524; Hoekman, S. Kent/0000-0002-8620-6012; Cereceda-Balic, Francisco/0000-0001-7761-1051; Gomez Lopez, Jaime Eduardo/0000-0002-6175-1583</t>
  </si>
  <si>
    <t>2227-9717</t>
  </si>
  <si>
    <t>10.3390/pr8040444</t>
  </si>
  <si>
    <t>WOS:000536891900101</t>
  </si>
  <si>
    <t>Kumar, R; Singh, RK; Dubey, PK; Singh, DP; Yadav, RM; Tiwari, RS</t>
  </si>
  <si>
    <t>Kumar, Rajesh; Singh, Rajesh Kumar; Dubey, Pawan Kumar; Pratap Singh, Dinesh; Yadav, Ram Manohar; Tiwari, Radhey Shyam</t>
  </si>
  <si>
    <t>Freestanding 3D Graphene-Nickel Encapsulated Nitrogen-Rich Aligned Bamboo Like Carbon Nanotubes for High-Performance Supercapacitors with Robust Cycle Stability</t>
  </si>
  <si>
    <t>ADVANCED MATERIALS INTERFACES</t>
  </si>
  <si>
    <t>3D hierarchical structures are reported based on graphene-nickel encapsulated nitrogen-rich aligned bamboo like carbon nanotubes, which show not only high-performance supercapacitance behavior but also a great robust cyclic stability. A facile synthesis route is developed of 2D nickel oxide decorated functionalized graphene nanosheets (2D-NiO-f:GNSs) hybrids and 3D nitrogen doped bamboo-shaped carbon nanotubes (NCNTs) vertically standing on the functionalized graphene nanosheets (3D-NCNT@f:GNSs) by using a thermal decomposition method. The chemical reduction and morphology-dependent electrochemical response are investigated. The enhanced specific capacitance of 3D-NCNT@f:GNSs as compared to that of 2D-NiO-f:GNSs suggests the synergistic effects and indicates the importance of energy storage and superior long-term cycling performance that are achieved. This 3D-NCNT@f:GNSs hybrid shows a remarkable cycling stability with a maximum power density of 12.32 kW kg(-1) and maximum energy density of 109.13 Wh kg(-1) due to the good connection of NCNT and f:GNSs. This unique 3D nano network architecture enables the availability of large surface areas of NCNT, thus endowing the nanohybrids with high specific capacitance and excellent reusability.</t>
  </si>
  <si>
    <t>Kumar, Dr. Rajesh/H-6510-2011; Dubey, Pawan/A-8571-2010; Yadav, Prof. Ram Manohar/P-9146-2014; SINGH, DINESH/A-2509-2011; Singh, Rajesh kumar/B-2721-2008</t>
  </si>
  <si>
    <t>Yadav, Prof. Ram Manohar/0000-0001-6894-9501; SINGH, DINESH/0000-0002-2893-7749; Kumar, Rajesh/0000-0001-7065-3259; Singh, Rajesh kumar/0000-0001-8884-8775; Dubey, Pawan Kumar/0000-0003-4617-368X</t>
  </si>
  <si>
    <t>2196-7350</t>
  </si>
  <si>
    <t>OCT 19</t>
  </si>
  <si>
    <t>10.1002/admi.201500191</t>
  </si>
  <si>
    <t>WOS:000363415300004</t>
  </si>
  <si>
    <t>Kumar, R; Singh, RK; Dubey, PK; Singh, DP; Yadav, RM</t>
  </si>
  <si>
    <t>Kumar, Rajesh; Singh, Rajesh Kumar; Dubey, Pawan Kumar; Singh, Dinesh Pratap; Yadav, Ram Manohar</t>
  </si>
  <si>
    <t>Self-Assembled Hierarchical Formation of Conjugated 3D Cobalt Oxide Nanobead-CNT-Graphene Nanostructure Using Microwaves for High-Performance Supercapacitor Electrode</t>
  </si>
  <si>
    <t>Here we report the electrochemical performance of a interesting three-dimensional (3D) structures comprised of zero,dimensional (OD) cobalt oxide nanobeads, one-dimensional (1D) carbon nanotubes and two-dimensional (2D) graphene, stacked hierarchically. We have synthesized 3D self-assembled hierarchical nanostructure comprised of cobalt oxide nanobeads (Co-nb), carbon nanotubes (CNTs), and graphene nanosheets (GNSs) for high-performance supercapacitor electrode application. This 3D self-assembled hierarchical nanostructure Co3O4 nanobeads-CNTs-GNSs (3D:Co-nb@CG is grown at a large Scale (gram) through simple, facile, and ultrafast microwave irradiation (MWI). In 3D:Co-nb@CG nanostructure, Co3O4 nanobeads are attached to the CNT surfaces grown on GNSs. Our ultrafast, one-step approach not only renders simultaneous growth of cobalt oxide and CNTs on graphene nanosheets but also institutes the intrinsic dispersion of carbon nanotubes and cobalt oxide within a highly conductive scaffold. The 3D:Co-nb@CG electrode shows better electrochemical performance with a maximum specific capacitance of 600 F/g at the charge/discharge current density of 0.7A/g in KOH electrolyte, which is 1.56 times higher than that of Co3O4-decorated graphene (Co-np@G) nanostructure. This electrode also shows a long cyclic life, excellent rate capability, and high specific capacitance. It also shows high stability after few cycles (550 cycles) and exhibits high capacitance retention behavior. It was observed that the supercapacitor retained 94.5% of its initial capacitance even after 5000 cycles, indicating its excellent cyclic stability. The synergistic effect of the 3D:Co-nb@CG appears to contribute to the enhanced electrochemical performances.</t>
  </si>
  <si>
    <t>Kumar, Dr. Rajesh/H-6510-2011; Dubey, Pawan/A-8571-2010; Singh, Rajesh kumar/B-2721-2008; SINGH, DINESH/A-2509-2011; Yadav, Prof. Ram Manohar/P-9146-2014</t>
  </si>
  <si>
    <t>Singh, Rajesh kumar/0000-0001-8884-8775; Kumar, Rajesh/0000-0001-7065-3259; Dubey, Pawan Kumar/0000-0003-4617-368X; SINGH, DINESH/0000-0002-2893-7749; Yadav, Prof. Ram Manohar/0000-0001-6894-9501</t>
  </si>
  <si>
    <t>10.1021/acsami.5b04336</t>
  </si>
  <si>
    <t>WOS:000358395200061</t>
  </si>
  <si>
    <t>Alaniz, AJ; Carvajal, MA; Quiroz, M; Vergara, PM; Marquet, PA; Fierro, A; Sieving, KE; Moreira-Arce, D; Hidalgo-Corrotea, C; Pedro, ARS; Allendes, L; Machuca, K</t>
  </si>
  <si>
    <t>Alaniz, Alberto J.; Carvajal, Mario A.; Quiroz, Madelaine; Vergara, Pablo M.; Marquet, Pablo A.; Fierro, Andres; Sieving, Kathryn E.; Moreira-Arce, Dario; Hidalgo-Corrotea, Claudia; Rodriguez-San Pedro, Annia; Allendes, Luis; Machuca, Katerine</t>
  </si>
  <si>
    <t>Unravelling the cavity-nesting network at large spatial scales: The biogeographic role of woodpeckers as ecosystem engineers</t>
  </si>
  <si>
    <t>JOURNAL OF BIOGEOGRAPHY</t>
  </si>
  <si>
    <t>AimPrimary cavity nesters (e.g. woodpeckers) act as ecosystem engineers by providing tree cavities to several vertebrates that use them as nests or refuges. Although diverse assemblages of primary excavators are assumed to increase the number of tree cavities, environmental factors can limit populations of primary excavators, thus weakening their ecological function. We aim to test the biogeographical-scale relationships between primary excavators and cavity users by distinguishing the contribution of environmental variables.LocationSouthern South America.Materials and MethodsWe used species distribution models, which combine bioclimatic and remote sensing derived variables, to map the richness of vertebrates composing the cavity-network of temperate and Mediterranean forests of South America. Based on a resampling procedure for ensuring spatial independence, we fitted structural equation models to estimate relationships between forest characteristics and cavity user vertebrates.ResultsRichness of secondary cavity users (mammals, obligated, habitat generalists and forest specialists) were positively and strongly influenced by the richness of primary excavators. Environmental variables affected differently the richness of primary and secondary cavity users. The richness of primary cavity users responded to tree richness and height while that of habitat specialist secondary users was positively affected by primary productivity and negatively by sclerophyll forests.Main ConclusionsOur results confirm the role of primary excavators as ecosystem engineers but highlight the importance of considering large spatial scales when analysing cavity-nesting networks. Biogeographical patterns of tree diversity and forest structure can be important drivers of cavity nesting networks that remain hidden when studies are conducted over fine spatial scales.</t>
  </si>
  <si>
    <t>Quiroz, Madelaine/ACG-9162-2022; Sieving, Kathyrn/JCE-5400-2023; Vergara, Pablo/F-2519-2010; Moreira-Arce, Dario/ABG-2898-2021; Carvajal, Mario/GYU-2659-2022; Alaniz, Alberto/J-3104-2019; Marquet, Pablo A./B-7732-2009</t>
  </si>
  <si>
    <t>Vergara, Pablo/0000-0002-0024-1678; Marquet, Pablo A./0000-0001-6369-9339</t>
  </si>
  <si>
    <t>0305-0270</t>
  </si>
  <si>
    <t>1365-2699</t>
  </si>
  <si>
    <t>10.1111/jbi.14786</t>
  </si>
  <si>
    <t>DEC 2023</t>
  </si>
  <si>
    <t>WOS:001135919800001</t>
  </si>
  <si>
    <t>Abrigo, J; Olguin, H; Tacchi, F; Orozco-Aguilar, J; Valero-Breton, M; Soto, J; Castro-Sepúlveda, M; Elorza, AA; Simon, F; Cabello-Verrugio, C</t>
  </si>
  <si>
    <t>Abrigo, Johanna; Olguin, Hugo; Tacchi, Franco; Orozco-Aguilar, Josue; Valero-Breton, Mayalen; Soto, Jorge; Castro-Sepulveda, Mauricio; Elorza, Alvaro A.; Simon, Felipe; Cabello-Verrugio, Claudio</t>
  </si>
  <si>
    <t>Cholic and deoxycholic acids induce mitochondrial dysfunction, impaired biogenesis and autophagic flux in skeletal muscle cells</t>
  </si>
  <si>
    <t>BIOLOGICAL RESEARCH</t>
  </si>
  <si>
    <t>BackgroundSkeletal muscle is sensitive to bile acids (BA) because it expresses the TGR5 receptor for BA. Cholic (CA) and deoxycholic (DCA) acids induce a sarcopenia-like phenotype through TGR5-dependent mechanisms. Besides, a mouse model of cholestasis-induced sarcopenia was characterised by increased levels of serum BA and muscle weakness, alterations that are dependent on TGR5 expression. Mitochondrial alterations, such as decreased mitochondrial potential and oxygen consumption rate (OCR), increased mitochondrial reactive oxygen species (mtROS) and unbalanced biogenesis and mitophagy, have not been studied in BA-induced sarcopenia.MethodsWe evaluated the effects of DCA and CA on mitochondrial alterations in C2C12 myotubes and a mouse model of cholestasis-induced sarcopenia. We measured mitochondrial mass by TOM20 levels and mitochondrial DNA; ultrastructural alterations by transmission electronic microscopy; mitochondrial biogenesis by PGC-1 alpha plasmid reporter activity and protein levels by western blot analysis; mitophagy by the co-localisation of the MitoTracker and LysoTracker fluorescent probes; mitochondrial potential by detecting the TMRE probe signal; protein levels of OXPHOS complexes and LC3B by western blot analysis; OCR by Seahorse measures; and mtROS by MitoSOX probe signals.ResultsDCA and CA caused a reduction in mitochondrial mass and decreased mitochondrial biogenesis. Interestingly, DCA and CA increased LC3II/LC3I ratio and decreased autophagic flux concordant with raised mitophagosome-like structures. In addition, DCA and CA decreased mitochondrial potential and reduced protein levels in OXPHOS complexes I and II. The results also demonstrated that DCA and CA decreased basal, ATP-linked, FCCP-induced maximal respiration and spare OCR. DCA and CA also reduced the number of cristae. In addition, DCA and CA increased the mtROS. In mice with cholestasis-induced sarcopenia, TOM20, OXPHOS complexes I, II and III, and OCR were diminished. Interestingly, the OCR and OXPHOS complexes were correlated with muscle strength and bile acid levels.ConclusionOur results showed that DCA and CA decreased mitochondrial mass, possibly by reducing mitochondrial biogenesis, which affects mitochondrial function, thereby altering potential OCR and mtROS generation. Some mitochondrial alterations were also observed in a mouse model of cholestasis-induced sarcopenia characterised by increased levels of BA, such as DCA and CA.</t>
  </si>
  <si>
    <t>Cabello-Verrugio, Claudio/AAD-1454-2020; Soto, Jorge/JXW-5802-2024</t>
  </si>
  <si>
    <t>Cabello-Verrugio, Claudio/0000-0001-7273-2102; Olguin, Hugo/0000-0003-4072-7776; Castro-Sepulveda, Mauricio/0000-0002-2270-299X; Soto, Jorge/0000-0003-0335-9759</t>
  </si>
  <si>
    <t>0716-9760</t>
  </si>
  <si>
    <t>0717-6287</t>
  </si>
  <si>
    <t>JUN 8</t>
  </si>
  <si>
    <t>10.1186/s40659-023-00436-3</t>
  </si>
  <si>
    <t>WOS:001002692800001</t>
  </si>
  <si>
    <t>Avalos, Y; Hernández-Cáceres, MP; Lagos, P; Pinto-Nuñez, D; Rivera, P; Burgos, P; Díaz-Castro, F; Joy-Immediato, M; Venegas-Zamora, L; Lopez-Gallardo, E; Kretschmar, C; Batista-Gonzalez, A; Cifuentes-Araneda, F; Toledo-Valenzuela, L; Rodriguez-Peña, M; Espinoza-Caicedo, J; Perez-Leighton, C; Bertocchi, C; Cerda, M; Troncoso, R; Parra, V; Budini, M; Burgos, P; Criollo, A; Morselli, E</t>
  </si>
  <si>
    <t>Avalos, Yenniffer; Paz Hernandez-Caceres, Maria; Lagos, Pablo; Pinto-Nunez, Daniela; Rivera, Patricia; Burgos, Paulina; Diaz-Castro, Francisco; Joy-Immediato, Michelle; Venegas-Zamora, Leslye; Lopez-Gallardo, Erik; Kretschmar, Catalina; Batista-Gonzalez, Ana; Cifuentes-Araneda, Flavia; Toledo-Valenzuela, Lilian; Rodriguez-Pena, Marcelo; Espinoza-Caicedo, Jasson; Perez-Leighton, Claudio; Bertocchi, Cristina; Cerda, Mauricio; Troncoso, Rodrigo; Parra, Valentina; Budini, Mauricio; Burgos, Patricia, V; Criollo, Alfredo; Morselli, Eugenia</t>
  </si>
  <si>
    <t>Palmitic acid control of ciliogenesis modulates insulin signaling in hypothalamic neurons through an autophagy-dependent mechanism</t>
  </si>
  <si>
    <t>CELL DEATH &amp; DISEASE</t>
  </si>
  <si>
    <t>Palmitic acid (PA) is significantly increased in the hypothalamus of mice, when fed chronically with a high-fat diet (HFD). PA impairs insulin signaling in hypothalamic neurons, by a mechanism dependent on autophagy, a process of lysosomal-mediated degradation of cytoplasmic material. In addition, previous work shows a crosstalk between autophagy and the primary cilium (hereafter cilium), an antenna-like structure on the cell surface that acts as a signaling platform for the cell. Ciliopathies, human diseases characterized by cilia dysfunction, manifest, type 2 diabetes, among other features, suggesting a role of the cilium in insulin signaling. Cilium depletion in hypothalamic pro-opiomelanocortin (POMC) neurons triggers obesity and insulin resistance in mice, the same phenotype as mice deficient in autophagy in POMC neurons. Here we investigated the effect of chronic consumption of HFD on cilia; and our results indicate that chronic feeding with HFD reduces the percentage of cilia in hypothalamic POMC neurons. This effect may be due to an increased amount of PA, as treatment with this saturated fatty acid in vitro reduces the percentage of ciliated cells and cilia length in hypothalamic neurons. Importantly, the same effect of cilia depletion was obtained following chemical and genetic inhibition of autophagy, indicating autophagy is required for ciliogenesis. We further demonstrate a role for the cilium in insulin sensitivity, as cilium loss in hypothalamic neuronal cells disrupts insulin signaling and insulin-dependent glucose uptake, an effect that correlates with the ciliary localization of the insulin receptor (IR). Consistently, increased percentage of ciliated hypothalamic neuronal cells promotes insulin signaling, even when cells are exposed to PA. Altogether, our results indicate that, in hypothalamic neurons, impairment of autophagy, either by PA exposure, chemical or genetic manipulation, cause cilia loss that impairs insulin sensitivity.</t>
  </si>
  <si>
    <t>Kretschmar, Catalina/KVA-7565-2024; Bertocchi, Cristina/GSJ-6994-2022; Moruno-Manchon, Jose Felix/AAC-5958-2022; Criollo, Alfredo/HMP-2062-2023; Parra, Valentina/N-3972-2018; Troncoso, Rodrigo/I-1915-2013; Cerda, Mauricio/F-7710-2015</t>
  </si>
  <si>
    <t>Morselli, Eugenia/0000-0002-7840-8351; Burgos Hitschfeld, Patricia V./0000-0003-4521-7978; Parra, Valentina/0000-0002-0080-6472; Diaz-Castro, Francisco/0000-0003-1644-8742; Venegas Zamora, Leslye/0000-0002-7726-8801; Bertocchi, Cristina/0000-0003-0907-1318; Perez-Leighton, Claudio/0000-0003-1817-6314; Troncoso, Rodrigo/0000-0003-0796-5908; Cerda, Mauricio/0000-0003-3447-1815; Kretschmar, Catalina/0000-0002-2365-6251; Budini, Mauricio Fernando/0000-0003-1821-291X; Hernandez-Caceres, Maria Paz/0000-0003-2365-9652; Criollo, Alfredo/0000-0002-2737-7751</t>
  </si>
  <si>
    <t>2041-4889</t>
  </si>
  <si>
    <t>JUL 28</t>
  </si>
  <si>
    <t>10.1038/s41419-022-05109-9</t>
  </si>
  <si>
    <t>WOS:000832912800002</t>
  </si>
  <si>
    <t>Shanmugaraj, K; Campos, CH; Mangalaraja, RV; Nandhini, K; Aepuru, R; Torres, CC; Singh, DP; Kumar, D; Ilanchelian, M; Sharma, A; Vo, DVN</t>
  </si>
  <si>
    <t>Shanmugaraj, Krishnamoorthy; Campos, Cristian H.; Mangalaraja, Ramalinga Viswanathan; Nandhini, Karuppasamy; Aepuru, Radhamanohar; Torres, Cecilia C.; Singh, Dinesh Pratap; Kumar, Deepak; Ilanchelian, Malaichamy; Sharma, Ajit; Vo, Dai-Viet N.</t>
  </si>
  <si>
    <t>Gold nanoparticle-decorated earth-abundant clay nanotubes as catalyst for the degradation of phenothiazine dyes and reduction of 4-(4-nitrophenyl)morpholine</t>
  </si>
  <si>
    <t>ENVIRONMENTAL SCIENCE AND POLLUTION RESEARCH</t>
  </si>
  <si>
    <t>In the present work, halloysite nanotubes modified with gold nanoparticles (AuNPs-HNT) are successfully prepared by wet chemical method for the catalytic degradation of phenothiazine dyes (azure B (AZB) and toluidine blue O (TBO)) and also cleaner reduction of 4-(4-nitrophenyl)morpholine (4NM) in the sodium borohydride (NaBH4) media. The catalyst is formulated by modifying the HNT support with a 0.964% metal loading using the HNT supports modified with 3-aminopropyl-trimethoxysilane (APTMS) coupling agent to facilitate the anchoring sites to trap the AuNPs and to prevent their agglomeration/aggregation. The AuNPs-HNT catalyst is investigated for structural and morphological characterization to get insights about the formation of the catalyst for the effective catalytic reduction of dyes and 4NM. The microscopic studies demonstrate that AuNPs (2.75 nm) are decorated on the outer surface of HNT. The as-prepared AuNPs-HNT catalyst demonstrates AZB and TBO dye degradation efficiency up to 96% in 10 and 11 min, respectively, and catalytic reduction of 4NM to 4-morpholinoaniline (MAN) is achieved up to 97% in 11 min, in the presence of NaBH4 without the formation of any by-products. The pseudo-first-order rate constant (K-1) value of the AuNPs-HNT catalyst for AZB, TBO, and 4NM were calculated to be 0.0078, 0.0055, and 0.0066 s(-1), respectively. Moreover, the synthesized catalyst shows an excellent reusability with stable catalytic reduction for 7 successive cycles for both the dyes and 4NM. A plausible mechanism for the catalytic dye degradation and reduction of 4NM by AuNPs-HNT catalyst is proposed as well. The obtained results clearly indicate the potential of AuNPs-HNT as an efficient catalyst for the removal of dye contaminants from the aquatic environments and cleaner reduction of 4NM to MAN, insinuating future pharmaceutical applications.</t>
  </si>
  <si>
    <t>Viswanathan, Mangalaraja/AAM-6090-2020; Vo, Dai-Viet/P-3562-2017; Torres, Cecilia/Q-9810-2016; KRISHNAMOORTHY, SHANMUGARAJ/IYJ-7427-2023; Sharma, Deepak/AAH-7863-2021; Sharma, Ajit/J-1755-2019; AEPURU, RADHAMANOHAR/AAT-4645-2020; KRISHNAMOORTHY, SHANMUGARAJ/N-6563-2017; SINGH, DINESH/A-2509-2011; Campos, Cristian/D-6926-2016; Ramalinga Viswanathan, Mangalaraja/JOZ-3129-2023</t>
  </si>
  <si>
    <t>KUMAR, DEEPAK/0000-0002-6358-2453; KRISHNAMOORTHY, SHANMUGARAJ/0000-0003-4531-9405; SINGH, DINESH/0000-0002-2893-7749; Campos, Cristian/0000-0001-8592-5384; Ramalinga Viswanathan, Mangalaraja/0000-0003-1016-9830</t>
  </si>
  <si>
    <t>0944-1344</t>
  </si>
  <si>
    <t>1614-7499</t>
  </si>
  <si>
    <t>10.1007/s11356-022-19523-1</t>
  </si>
  <si>
    <t>MAR 2022</t>
  </si>
  <si>
    <t>WOS:000769886700003</t>
  </si>
  <si>
    <t>Gisbert, E; Ibarz, A; Firmino, JP; Fernández-Alacid, L; Salomón, R; Vallejos-Vidal, E; Ruiz, A; Polo, J; Sanahuja, I; Reyes-López, FE; Tort, L; Andree, KB</t>
  </si>
  <si>
    <t>Gisbert, Enric; Ibarz, Antoni; Firmino, Joana P.; Fernandez-Alacid, Laura; Salomon, Ricardo; Vallejos-Vidal, Eva; Ruiz, Alberto; Polo, Javier; Sanahuja, Ignasi; Reyes-Lopez, Felipe E.; Tort, Lluis; Andree, Karl B.</t>
  </si>
  <si>
    <t>Porcine Protein Hydrolysates (PEPTEIVA(R)) Promote Growth and Enhance Systemic Immunity in Gilthead Sea Bream (Sparus aurata)</t>
  </si>
  <si>
    <t>ANIMALS</t>
  </si>
  <si>
    <t>Simple Summary The development of functional feeds based on additives intended for supporting somatic growth, as well as promoting and modulating the host's immune response is a promising and reliable strategy in the post-antibiotic era. In this study, we have evaluated porcine plasma protein hydrolysate (PPH), a by-product of the rendering industry, as a functional ingredient in aquafeeds. Thus, a 92-day nutritional trial was conducted to evaluate the inclusion of PPH in gilthead sea bream (Sparus aurata) diets. In particular, the control diet contained 7% fishmeal (48% protein, 17% fat, and 22 MJ kg(-1) gross energy), whereas the PPH was included in the experimental diet at the expense of 5% fish meal. Results indicated that this rendering by-product had a beneficial effect on the growth performance and feed-efficiency parameters, as well as promoted systemic immunity. In addition, no differences in biochemical skin mucus biomarkers were found between both groups. The present study indicated that porcine protein hydrolysate obtained from blood plasma may be considered as a safe and functional ingredient for aquafeeds. The effects of porcine plasma protein hydrolysate (PPH) on growth, feed efficiency, and immune responses was evaluated in Sparus aurata. Fish were fed two isoproteic (48% protein), isolipidic (17% fat), and isoenergetic diets (21.7 MJ/kg) diets, one of them containing 5% PPH at the expense of fishmeal. Both diets were tested for 92 days. A significant increase in growth was observed in fish fed the PPH diet in comparison to the control group (182.2 +/- 4.4 vs. 173.8 +/- 4.1 g), as well as an increase in feed intake without worsening FCR values. An ex vivo assay, with splenocytes incubated with lipopolysaccharide, was conducted to evaluate the cellular immune competence of fish. Genes involved in humoral immunity (lys, IgM), pro- (tnf-alpha, il-1 beta), and anti-inflammatory (tgf-beta 1, il10) cytokines were upregulated in the PPH group in comparison to the control group. The inclusion of PPH in diets enhanced the antibacterial capacity of skin mucus, as the co-culture of selected bacteria (E. coli, V. anguillarum, and P. anguilliseptica) with skin mucus indicated. The present results showed that the PPH in low fishmeal diets (2%) promoted growth and feed efficiency, as well as enhancing the immune response, which indicates that this is a safe and functional ingredient for aquafeeds.</t>
  </si>
  <si>
    <t>Reyes-López, Felipe/S-1760-2018; Andree, Karl/L-7465-2014; Fernandez-Alacid, Laura/R-4365-2016; Ruiz, Alberto/ISA-2731-2023; Tort, Lluis/H-5650-2011; Salomón, Ricardo/ABC-8308-2021; Vallejos-Vidal, Eva/R-9606-2019; Firmino, Joana/AAX-1575-2021; Sanahuja, Ignasi/J-5673-2017; Ibarz, Antoni/D-9611-2014; Gisbert, Enric/B-3654-2011</t>
  </si>
  <si>
    <t>Ibarz, Antoni/0000-0002-1890-5305; Tort, Lluis/0000-0002-3907-722X; Salomon Figueredo, Ricardo/0000-0003-1433-2789; Gisbert, Enric/0000-0002-7457-8468; Firmino, Joana/0000-0002-7694-0416; Fernandez-Alacid, Laura/0000-0001-7867-0985; Reyes-Lopez, Felipe E./0000-0002-5001-457X; Ruiz, Alberto/0000-0003-1545-6601; Polo, Javier/0000-0003-0990-2230</t>
  </si>
  <si>
    <t>2076-2615</t>
  </si>
  <si>
    <t>10.3390/ani11072122</t>
  </si>
  <si>
    <t>WOS:000675902500001</t>
  </si>
  <si>
    <t>Espinoza, CM; Antonopoulou, D; Dodson, R; Stepanova, M; Scherer, A</t>
  </si>
  <si>
    <t>Espinoza, C. M.; Antonopoulou, D.; Dodson, R.; Stepanova, M.; Scherer, A.</t>
  </si>
  <si>
    <t>Small glitches and other rotational irregularities of the Vela pulsar (vol 647, A25, 2021)</t>
  </si>
  <si>
    <t>ASTRONOMY &amp; ASTROPHYSICS</t>
  </si>
  <si>
    <t>Stepanova, Marina/D-6329-2011</t>
  </si>
  <si>
    <t>0004-6361</t>
  </si>
  <si>
    <t>1432-0746</t>
  </si>
  <si>
    <t>MAY 4</t>
  </si>
  <si>
    <t>C2</t>
  </si>
  <si>
    <t>10.1051/0004-6361/202039044e</t>
  </si>
  <si>
    <t>WOS:000646808000001</t>
  </si>
  <si>
    <t>Castro-Garrido, N; Valderas-Maldonado, C; Herrera-Valenzuela, T; Da Silva, JF; Guzmán-Muñoz, E; Vasquez-Gómez, J; Branco, BM; Zapata-Bastias, J; Lopez-Fuenzalida, A; Valdés-Badilla, P</t>
  </si>
  <si>
    <t>Castro-Garrido, Nibaldo; Valderas-Maldonado, Carol; Herrera-Valenzuela, Tomas; Da Silva, Jonatas Ferreira; Guzman-Munoz, Eduardo; Vasquez-Gomez, Jaime; Branco, Braulio Magnani; Zapata-Bastias, Jose; Lopez-Fuenzalida, Antonio; Valdes-Badilla, Pablo</t>
  </si>
  <si>
    <t>Effects of post-activation potentiation exercises on kicking frequency, fatigue rate and jump performance in taekwondo athletes: a case study</t>
  </si>
  <si>
    <t>RETOS-NUEVAS TENDENCIAS EN EDUCACION FISICA DEPORTE Y RECREACION</t>
  </si>
  <si>
    <t>The aim of the present study was to establish the effects of three conditions of post-activation potentiation (PAP) exercises on kicking frequency, fatigue rate (FR) and jump performance in novice and advanced taekwondo athletes. Secondarily, to establish if the PAP strength plus plyometrics exercises produced a significantly higher increase with respect to exercises of isolated strength and plyometrics. Eight university taekwondo athletes (n=4 novices and n=4 advanced) were randomized into four (one control and three experimental) intervention conditions. Kicking frequency and FR were evaluated with the Frequency Speed of Kicks Test (FSKT), and countermovement jump test (CMJ). Effect size (ES) was calculated and the significance level was stabilized at p&lt;0.05. Advanced taekwondo athletes obtained significantly higher results when compared to novices in the control condition for the fifth FSKT-10s (p=0.019; ES=2.382); in the strength condition for the second FSKT-10s 2 (p=0.028; ES=2.590); and in the strength plus plyometrics condition for the first FSKT-10s (p=0.037; ES=1.805) and third FSKT-10s (p=0.027; ES=2.117). Furthermore, the control condition showed a difference when compared to strength plus plyometrics: on the first (p=0.040; ES=0.552) and second FSKT-10s (p=0.032; ES=0.687), respectively. The FR and CMJ did not significantly differ between the athletes nor between the intervention conditions. In conclusion, the PAP exercises did not improve kick frequency, FR and jump performance in the taekwondo athletes evaluated. However, these exercises did not produce adverse effects in the FR; thus, they could be used in taekwondo athletes with previous strength training.</t>
  </si>
  <si>
    <t>Vásquez-Gómez, Jaime/AAJ-4316-2020; Herrera-Valenzuela, Tomas/L-1819-2019; Vasquez-Gomez, Jaime/G-1342-2017</t>
  </si>
  <si>
    <t>Vasquez-Gomez, Jaime/0000-0003-0597-793X</t>
  </si>
  <si>
    <t>1579-1726</t>
  </si>
  <si>
    <t>1988-2041</t>
  </si>
  <si>
    <t>WOS:000535742500101</t>
  </si>
  <si>
    <t>Hormazábal-Aguayo, I; Fernández-Vergara, O; González-Calderon, N; Vicencio-Rojas, F; Russell-Guzmán, J; Chacana-Cañas, C; del Pozo-Cruz, B; García-Hermoso, A</t>
  </si>
  <si>
    <t>Hormazabal-Aguayo, Ignacio; Fernandez-Vergara, Omar; Gonzalez-Calderon, Nicole; Vicencio-Rojas, Francisca; Russell-Guzman, Javier; Chacana-Canas, Cesar; del Pozo-Cruz, Borja; Garcia-Hermoso, Antonio</t>
  </si>
  <si>
    <t>Can a before-school physical activity program decrease bullying victimization in disadvantaged children? The Active-Start Study</t>
  </si>
  <si>
    <t>INTERNATIONAL JOURNAL OF CLINICAL AND HEALTH PSYCHOLOGY</t>
  </si>
  <si>
    <t>Background/Objective: To test the effectiveness of an 8-week before-school physical activity program to reduce bullying victimization among a group of socially disadvantaged children in the Active-Start study. Method: A non-blinded randomized controlled trial was conducted in three public schools classified as highly vulnerable and located in a deprived area of Santiago (Chile). A total of 5 classes participated, totaling 170 fourth grade children. The intervention was delivered before starting the first school-class (8:00-8:30 a.m.). The program lasted for 8 weeks. Primary outcome measurement on bullying victimization was assessed by the CUBE questionnaire at baseline and post-intervention. Results: There was a statistically significant reduction in the probability of suffering physical bullying (OR= 0.18, 95% CI, 0.04-0.82; p= .027) and verbal bullying (OR=0.13, 95% CI, 0.02-0.97; p= .046) after the 8-week program. Conclusions: Participation in an 8-week before-school physical activity intervention implemented in schools located in a disadvantaged district in Santiago (Chile) resulted in lower levels of bullying victimization among study participants. The Active-Start program may be a feasible and potentially scalable intervention option to improve the climate and pro-sociality environment at schools. (C) 2019 Published by Elsevier Espana, S.L.U. on behalf of Asociacion Espanola de Psicologia Conductual.</t>
  </si>
  <si>
    <t>García-Hermoso, Antonio/ADU-2591-2022; Garcia-Hermoso, Antonio/P-1857-2017; del Pozo Cruz, Borja/IAM-4325-2023</t>
  </si>
  <si>
    <t>Chacana Canas, Cesar/0000-0002-0497-8546; Hormazabal Aguayo, Ignacio/0009-0002-7221-1731; Russell-Guzman, Javier/0000-0003-4452-9312; Garcia-Hermoso, Antonio/0000-0002-1397-7182; del Pozo Cruz, Borja/0000-0003-3944-2212</t>
  </si>
  <si>
    <t>1697-2600</t>
  </si>
  <si>
    <t>1576-7329</t>
  </si>
  <si>
    <t>10.1016/j.ijchp.2019.05.001</t>
  </si>
  <si>
    <t>WOS:000483457900008</t>
  </si>
  <si>
    <t>Gálvez-Cancino, F; López, E; Menares, E; Díaz, X; Flores, C; Cáceres, P; Hidalgo, S; Chovar, O; Alcántara-Hernández, M; Borgna, V; Varas-Godoy, M; Salazar-Onfray, F; Idoyaga, J; Lladser, A</t>
  </si>
  <si>
    <t>Galvez-Cancino, Felipe; Lopez, Ernesto; Menares, Evelyn; Diaz, Ximena; Flores, Camila; Caceres, Pablo; Hidalgo, Sofia; Chovar, Ornella; Alcantara-Hernandez, Marcela; Borgna, Vincenzo; Varas-Godoy, Manuel; Salazar-Onfray, Flavio; Idoyaga, Juliana; Lladser, Alvaro</t>
  </si>
  <si>
    <t>Vaccination-induced skin-resident memory CD8+ T cells mediate strong protection against cutaneous melanoma</t>
  </si>
  <si>
    <t>ONCOIMMUNOLOGY</t>
  </si>
  <si>
    <t>Memory CD8(+) T cell responses have the potential to mediate long-lasting protection against cancers. Resident memory CD8(+) T (Trm) cells stably reside in non-lymphoid tissues and mediate superior innate and adaptive immunity against pathogens. Emerging evidence indicates that Trm cells develop in human solid cancers and play a key role in controlling tumor growth. However, the specific contribution of Trm cells to anti-tumor immunity is incompletely understood. Moreover, clinically applicable vaccination strategies that efficiently establish Trm cell responses remain largely unexplored and are expected to strongly protect against tumors. Here we demonstrated that a single intradermal administration of gene- or protein-based vaccines efficiently induces specific Trm cell responses against models of tumor-specific and self-antigens, which accumulated in vaccinated and distant non-vaccinated skin. Vaccination-induced Trm cells were largely resistant to in vivo intravascular staining and antibody-dependent depletion. Intradermal, but not intraperitoneal vaccination, generated memory precursors expressing skin-homing molecules in circulation and Trm cells in skin. Interestingly, vaccination-induced Trm cell responses strongly suppressed the growth of B16F10 melanoma, independently of circulating memory CD8(+) T cells, and were able to infiltrate tumors. This work highlights the therapeutic potential of vaccination-induced Trm cell responses to achieve potent protection against skin malignancies.</t>
  </si>
  <si>
    <t>Hernandez, Marcela/KII-3159-2024; Morgado-Cáceres, Pablo/MGT-3737-2025; diaz, ximena/KUD-4752-2024; Borgna, Vincenzo/AAZ-8414-2020; Flores, Camila/GWN-0964-2022</t>
  </si>
  <si>
    <t>Alcantara-Hernandez, Marcela/0000-0002-3620-1248; Galvez-Cancino, Felipe/0000-0001-8417-1891; Salazar-Onfray, Flavio/0000-0002-1848-5697; Chovar Vera, Ornella/0009-0004-0829-1559; Morgado-Caceres, Pablo/0000-0002-9199-923X; Lladser, Alvaro/0000-0002-5576-1478; Varas-Godoy, Manuel/0000-0001-5857-4793</t>
  </si>
  <si>
    <t>2162-402X</t>
  </si>
  <si>
    <t>e1442163</t>
  </si>
  <si>
    <t>10.1080/2162402X.2018.1442163</t>
  </si>
  <si>
    <t>WOS:000433549100012</t>
  </si>
  <si>
    <t>Eyelade, AV; Stepanova, M; Espinoza, CM; Antonova, EE; Kirpichev, IP</t>
  </si>
  <si>
    <t>Eyelade, A. V.; Stepanova, M.; Espinoza, C. M.; Antonova, E. E.; Kirpichev, I. P.</t>
  </si>
  <si>
    <t>The Response of the Magnetosphere to Changes in the Solar Wind Dynamic Pressure: 2. Ion and Electron Kappa Distribution Functions</t>
  </si>
  <si>
    <t>JOURNAL OF GEOPHYSICAL RESEARCH-SPACE PHYSICS</t>
  </si>
  <si>
    <t>The Earth's magnetosphere is filled with a collisionless plasma that exhibits non-Maxwellian particle distributions which are well described by Kappa functions. In contrast to the Maxwellian, the Kappa contains not only density and temperature but also the kappa index that allows us to characterize the energetic tails. In this study, we analyze the response of the ion and electron Kappa distributions, obtained by fitting ion and electron fluxes measured by the five THEMIS satellites, to changes of the solar wind dynamic pressure. It was found that the solar wind dynamic pressure strongly affects the values of the kappa index, and that its impact depends on the magnetic local time (MLT). In particular, there is a significant dawn-dusk asymmetry for low PSW values which is enhanced in the night side. Further, we observe a narrow partial ring-shaped structure at different azimuthal extension that divides the plasma into two clearly defined domains. The results obtained reflect the global reconfiguration of the magnetosphere caused by variations of the solar wind dynamic pressure. Kappa distribution parameters and their average values for different ranges of PSW and MLT are provided, which we believe will contribute as realistic inputs to the modeling of the magnetosphere. The Kappa distribution function, which combines the Maxwellian-type and the power-law distributions, has been widely used in literature to describe particle populations in space and astrophysical plasmas. In such environments, ions and electrons rarely experience collisions and they are out of thermal equilibrium, which allows us to get insights into the mechanism of energy transfer in these plasmas. The goal is to investigate the roles of non-thermal particle distributions, and their response to solar wind dynamic pressure in poorly collisional plasma environments such as the Earth magnetosphere. The availability of high cadence Time History of Events and Macroscale Interactions during Substorms (THEMIS) satellite data have enabled us to conduct this statistical analysis using THEMIS and OMNI database. Our findings confirm that the ion and electron kappa parameters exhibit distinct behaviors when subjected to the dynamic pressure exerted by the solar wind. Moreover, we find an interesting narrow partial ring shaped structure at different azimuthal extension exhibiting a local minimum for ion kappa parameters, and a local maximum for electron kappa parameters. The behavior of Kappa distribution parameters in the Earth magnetosphere in response to the variation of the solar wind dynamic pressure is studied The solar wind dynamic pressure strongly influence ion and electron kappa indices The core energy (Ec) exhibits a significant dawn-dusk asymmetry for ions and much weaker for electrons in various range of PSW</t>
  </si>
  <si>
    <t>Kirpichev, Igor/HHM-2487-2022; Eyelade, Adetayo/AAD-9716-2020; Stepanova, Marina/D-6329-2011; Antonova, Elizaveta/A-2716-2012; Espinoza, Cristobal/U-4428-2017</t>
  </si>
  <si>
    <t>Stepanova, Marina/0000-0002-1053-3375; Antonova, Elizaveta/0000-0001-6980-3993; Espinoza, Cristobal/0000-0003-2481-2348; EYELADE, ADETAYO/0000-0002-2301-307X</t>
  </si>
  <si>
    <t>2169-9380</t>
  </si>
  <si>
    <t>2169-9402</t>
  </si>
  <si>
    <t>e2023JA031949</t>
  </si>
  <si>
    <t>10.1029/2023JA031949</t>
  </si>
  <si>
    <t>WOS:001259130700001</t>
  </si>
  <si>
    <t>Castillo, D; Vega-Muñoz, A; Salazar-Sepúlveda, G; Contreras-Barraza, N; Torres-Alcayaga, M</t>
  </si>
  <si>
    <t>Castillo, Dante; Vega-Munoz, Alejandro; Salazar-Sepulveda, Guido; Contreras-Barraza, Nicolas; Torres-Alcayaga, Mario</t>
  </si>
  <si>
    <t>Bibliometric Mapping of School Garden Studies: A Thematic Trends Analysis</t>
  </si>
  <si>
    <t>HORTICULTURAE</t>
  </si>
  <si>
    <t>This paper analyzes the thematic trends in school garden studies over the past few decades, using a relational bibliometric methodology on a corpus of 392 articles and review articles indexed in the Web of Science Core Collection. The paper seeks to understand how researchers have studied the concept over the last few decades in various disciplines, spanning approximately eighty Web of Science categories. The results show that there is a critical mass of scientific research studying school gardens. The analysis shows the thematic trends in discussion journals, discussion terminology, and consolidates classic papers and some novel authors and papers. The studies and their theoretical trends lead to refocusing the analysis on the effects of school gardens beyond the educational, thanks to the contribution of authors from more than fifty countries engaged in the study of these activities. This work constitutes new challenges for this line of research, raising interdisciplinary research challenges between horticultural, environmental, technological, educational, social, food, nutritional, and health sciences.</t>
  </si>
  <si>
    <t>Vega-Muñoz, Alejandro/AAX-7468-2021; Salazar-Sepúlveda, Guido/CAH-3395-2022; Contreras-Barraza, Nicolás/HTP-2328-2023</t>
  </si>
  <si>
    <t>Castillo, Dante/0000-0002-5648-0627; Salazar, Guido/0000-0002-4979-6869; Torres-Alcayaga, Mario/0009-0007-9306-4028; Vega, Alejandro/0000-0002-9427-2044; Contreras-Barraza, Nicolas/0000-0001-6729-4398</t>
  </si>
  <si>
    <t>2311-7524</t>
  </si>
  <si>
    <t>10.3390/horticulturae9030359</t>
  </si>
  <si>
    <t>WOS:000957829300001</t>
  </si>
  <si>
    <t>Kosmopoulos, C; Aveline, N; Cauvin-Reymond, C; Elissalde, B; Gravari-Barbas, M; Hardy, M; Lemarchand, N; Maturana, F; Pumain, D; Wayens, B; Zamorano, G</t>
  </si>
  <si>
    <t>Kosmopoulos, Christine; Aveline, Natacha; Cauvin-Reymond, Colette; Elissalde, Bernard; Gravari-Barbas, Maria; Hardy, Margaux; Lemarchand, Nathalie; Maturana, Francisco; Pumain, Denise; Wayens, Benjamin; Zamorano, Gloria</t>
  </si>
  <si>
    <t>CybergeoNet. Scientific translations</t>
  </si>
  <si>
    <t>CYBERGEO-EUROPEAN JOURNAL OF GEOGRAPHY</t>
  </si>
  <si>
    <t>Maturana, Francisco/IZD-7251-2023</t>
  </si>
  <si>
    <t>1278-3366</t>
  </si>
  <si>
    <t>WOS:000899682200010</t>
  </si>
  <si>
    <t>Fuentes-Lemus, E; Dorta, E; Escobar, E; Aspée, A; Pino, E; Abasq, ML; Speisky, H; Silva, E; Lissi, E; Davies, MJ; López-Alarcón, C</t>
  </si>
  <si>
    <t>Fuentes-Lemus, E.; Dorta, E.; Escobar, E.; Aspee, A.; Pino, E.; Abasq, M. L.; Speisky, H.; Silva, E.; Lissi, E.; Davies, M. J.; Lopez-Alarcon, C.</t>
  </si>
  <si>
    <t>Oxidation of free, peptide and protein tryptophan residues mediated by AAPH-derived free radicals: role of alkoxyl and peroxyl radicals</t>
  </si>
  <si>
    <t>The oxidation of tryptophan (Trp) residues, mediated by peroxyl radicals (ROO.), follows a complex mechanism involving free radical intermediates, and short chain reactions. The reactivity of Trp towards ROO. should be strongly affected by its inclusion in peptides and proteins. To examine the latter, we investigated (by fluorescence) the kinetic of the consumption of free, peptide-and protein-Trp residues towards AAPH (2,2'-azobis(2-amidinopropane) dihydrochloride)-derived free radicals. Interestingly, the initial consumption rates (R-i) were only slightly influenced by the inclusion of Trp in small peptides and proteins (human serum albumin and human superoxide dismutase). Depending on the Trp concentration, the R-i versus Trp concentration ([Trp]) plots showed three regions. At low Trp concentrations (1-10 mu M), a linear dependence was observed between R-i and [Trp]; at intermediate Trp concentrations (10-50 mu M), the values of R-i were nearly constant; and at high Trp concentrations (50 mu M to 1 mM), a slower increase of R-i than expected for chain reactions. Similar behavior was detected for all three systems (free Trp, and Trp in peptides and proteins). For the first time we are showing that alkoxyl radicals, formed from self-reaction of ROO., are responsible of the Trp oxidation at low concentrations, while at high Trp concentrations, a mixture of peroxyl and alkoxyl radicals are involved in the oxidation of Trp residues.</t>
  </si>
  <si>
    <t>Pérez, Dorta/T-7820-2019; Lopez, Camilo/J-5770-2013; Fuentes Lemus, Eduardo/X-4292-2019; Davies, Michael/H-4939-2011</t>
  </si>
  <si>
    <t>Fuentes Lemus, Eduardo/0000-0002-1465-8466; Davies, Michael/0000-0002-5196-6919; Lopez, Camilo/0000-0002-0174-8972; Pino, Eduardo Francisco/0000-0002-7851-3952; Dorta, Eva/0000-0002-2292-0356</t>
  </si>
  <si>
    <t>10.1039/c6ra12859a</t>
  </si>
  <si>
    <t>WOS:000378725800021</t>
  </si>
  <si>
    <t>S</t>
  </si>
  <si>
    <t>Stepanova, M; Luízar, O; Bosqued, JM; Antonova, EE; Kovrazhkin, RA</t>
  </si>
  <si>
    <t>Malingre, M</t>
  </si>
  <si>
    <t>Spatial distribution of the auroral electron precipitations and the sources of field-aligned currents</t>
  </si>
  <si>
    <t>ADVANCES IN AURORAL PHYSICS</t>
  </si>
  <si>
    <t>ADVANCES IN SPACE RESEARCH</t>
  </si>
  <si>
    <t>D3 2 Symposium of COSPAR Scientific Commission D held at the 33rd COSPAR Scientific Assembly</t>
  </si>
  <si>
    <t>JUL, 2000</t>
  </si>
  <si>
    <t>WARSAW, POLAND</t>
  </si>
  <si>
    <t>Amer Geophys Union,Ctr Natl Etud Spatiales,Int Union Radio Sci,Int Union Geodesy &amp; Geophys,Int Assoc Geomagnet Aeronom,Comm Space Res</t>
  </si>
  <si>
    <t>Multiple inverted-V structures are commonly observed on the same auroral zone crossing by a low altitude orbiting satellite. They appear grouped and apparently result from an ionospheric and/or magnetospheric mechanism of stratification. AUREOL-3 satellite observations were analyzed to study their properties in the framework of the ionosphere-magnetosphere coupling model proposed by Tverskoy (1982). This model predicts some natural periodicity in the electrostatic potential profile in the order of 100-200 km at ionospheric altitudes that could account for oscillations experimentally observed in the auroral zone, such as successive inverted-Vs. These oscillations may naturally result when the initial pressure gradients needed to generate a large-scale field-aligned current have a sufficiently wide equatorial scale, of about I RE or more. (C) 2001 COSPAR. Published by Elsevier Science Ltd. All rights reserved.</t>
  </si>
  <si>
    <t>Stepanova, Marina/D-6329-2011; Antonova, Elizaveta/A-2716-2012</t>
  </si>
  <si>
    <t>Stepanova, Marina/0000-0002-1053-3375; Antonova, Elizaveta/0000-0001-6980-3993</t>
  </si>
  <si>
    <t>0273-1177</t>
  </si>
  <si>
    <t>10.1016/S0273-1177(01)00477-X</t>
  </si>
  <si>
    <t>WOS:000173496800002</t>
  </si>
  <si>
    <t>Amoruso, L; García, AM; Pusil, S; Timofeeva, P; Quiñones, I; Carreiras, M</t>
  </si>
  <si>
    <t>Amoruso, Lucia; Garcia, Adolfo M.; Pusil, Sandra; Timofeeva, Polina; Quinones, Ileana; Carreiras, Manuel</t>
  </si>
  <si>
    <t>Decoding bilingualism from resting-state oscillatory network organization</t>
  </si>
  <si>
    <t>ANNALS OF THE NEW YORK ACADEMY OF SCIENCES</t>
  </si>
  <si>
    <t>Can lifelong bilingualism be robustly decoded from intrinsic brain connectivity? Can we determine, using a spectrally resolved approach, the oscillatory networks that better predict dual-language experience? We recorded resting-state magnetoencephalographic activity in highly proficient Spanish-Basque bilinguals and Spanish monolinguals, calculated functional connectivity at canonical frequency bands, and derived topological network properties using graph analysis. These features were fed into a machine learning classifier to establish how robustly they discriminated between the groups. The model showed excellent classification (AUC: 0.91 +/- 0.12) between individuals in each group. The key drivers of classification were network strength in beta (15-30 Hz) and delta (2-4 Hz) rhythms. Further characterization of these networks revealed the involvement of temporal, cingulate, and fronto-parietal hubs likely underpinning the language and default-mode networks (DMNs). Complementary evidence from a correlation analysis showed that the top-ranked features that better discriminated individuals during rest also explained interindividual variability in second language (L2) proficiency within bilinguals, further supporting the robustness of the machine learning model in capturing trait-like markers of bilingualism. Overall, our results show that long-term experience with an L2 can be brain-read at a fine-grained level from resting-state oscillatory network organization, highlighting its pervasive impact, particularly within language and DMN networks. Can lifelong bilingualism be robustly decoded from intrinsic oscillatory network organization? This study employs a data-driven machine learning approach to determine whether bilinguals and monolinguals can be distinguished based on spectrally-resolved resting-state dynamics. The model showed excellent performance (AUC: 0.91 +/- 0.12) in subject-level discrimination. Strength in beta (15-30 Hz) and delta (2-4 Hz) rhythms were identified as top-ranked predictive features, indicative of neuroplastic changes in language and default-mode networks. # image</t>
  </si>
  <si>
    <t>Amoruso, Lucía/P-6949-2019; Pusil, Sandra/AAH-3808-2019; García, Adolfo/E-7150-2017; Carreiras, Manuel/D-5267-2009</t>
  </si>
  <si>
    <t>Amoruso, Lucia/0000-0003-4696-2187</t>
  </si>
  <si>
    <t>0077-8923</t>
  </si>
  <si>
    <t>1749-6632</t>
  </si>
  <si>
    <t>10.1111/nyas.15113</t>
  </si>
  <si>
    <t>FEB 2024</t>
  </si>
  <si>
    <t>WOS:001178051800001</t>
  </si>
  <si>
    <t>Costa, DMD; Zúñiga-Loyola, C; Droghetti, F; Robles, S; Villegas-Menares, A; Villegas-Escobar, N; Gonzalez-Pavez, I; Molins, E; Natali, M; Cabrera, AR</t>
  </si>
  <si>
    <t>Costa, David Moreno-da; Zuniga-Loyola, Cesar; Droghetti, Federico; Robles, Stephania; Villegas-Menares, Alondra; Villegas-Escobar, Nery; Gonzalez-Pavez, Ivan; Molins, Elies; Natali, Mirco; Cabrera, Alan R.</t>
  </si>
  <si>
    <t>Air- and Water-Stable Heteroleptic Copper (I) Complexes Bearing Bis(indazol-1-yl)methane Ligands: Synthesis, Characterisation, and Computational Studies</t>
  </si>
  <si>
    <t>A series of four novel heteroleptic Cu(I) complexes, bearing bis(1H-indazol-1-yl)methane analogues as N,N ligands and DPEPhos as the P,P ligand, were synthesised in high yields under mild conditions and characterised by spectroscopic and spectrometric techniques. In addition, the position of the carboxymethyl substituent in the complexes and its effect on the electrochemical and photophysical behaviour was evaluated. As expected, the homoleptic copper (I) complexes with the N,N ligands showed air instability. In contrast, the obtained heteroleptic complexes were air- and water-stable in solid and solution. All complexes displayed green-yellow luminescence in CH2Cl2 at room temperature due to ligand-centred (LC) phosphorescence in the case of the Cu(I) complex with an unsubstituted N,N ligand and metal-to-ligand charge transfer (MLCT) phosphorescence for the carboxymethyl-substituted complexes. Interestingly, proper substitution of the bis(1H-indazol-1-yl)methane ligand enabled the achievement of a remarkable luminescent yield (2.5%) in solution, showcasing the great potential of this novel class of copper(I) complexes for potential applications in luminescent devices and/or photocatalysis.</t>
  </si>
  <si>
    <t>González-Pavez, Iván/AAQ-1568-2020; Molins, Elies/C-5074-2008; Zúñiga-Loyola, César/AAN-5621-2021; Villegas, Alondra/LTZ-2509-2024; Villegas-Escobar, Nery/ABC-1743-2020</t>
  </si>
  <si>
    <t>NATALI, Mirco/0000-0002-6638-978X; Gonzalez-Pavez, Ivan/0000-0002-5942-7696; Villegas Menares, Alondra/0000-0001-6353-098X; Molins, Elies/0000-0003-1012-0551; Zuniga-Loyola, Cesar/0000-0002-0894-3383; Cabrera, Alan R./0000-0002-4620-6974; Villegas-Escobar, Nery/0000-0002-6370-617X</t>
  </si>
  <si>
    <t>10.3390/molecules29010047</t>
  </si>
  <si>
    <t>WOS:001140336400001</t>
  </si>
  <si>
    <t>Alarcón, F; Casassus, S; Lyra, W; Pérez, S; Cieza, L</t>
  </si>
  <si>
    <t>Alarcon, Felipe; Casassus, Simon; Lyra, Wladimir; Perez, Sebastian; Cieza, Lucas</t>
  </si>
  <si>
    <t>Viscous heating as the dominant heat source inside the water snowline of V883 Ori</t>
  </si>
  <si>
    <t>FU Orionis-type objects (FUors) are embedded protostars that undergo episodes of high accretion, potentially indicating a widespread but poorly understood phase in the formation of low-mass stars. Gaining a better understanding of the influence exerted by these outbursts on the evolution of the surrounding protoplanetary disc may hold significant implications for the process of planet formation and the evolution of disc chemistry. The heating due to outbursts of high accretion in FUors pushes the snowlines of key volatiles farther out in the disc, so they become easier to observe and study. Among the known FUors, V883 Ori is of particular interest. V883 Ori was the first FUor to show indirect evidence of a resolvable snowline beyond 40 au. By introducing a radial-dependent model of this source including viscous heating, we show that active heating is needed to reproduce the steep thermal profile of dust in the inner disc of V883 Ori. Our disc modelling combines the effect of stellar irradiation and the influence on the disc shape caused by the outburst of accretion. The accuracy of our model is tested by comparing synthetic Atacama Larga Millimeter Array images with continuum observations of V883 Ori, showing that the model successfully reproduces the 1.3 mm emission of V883 Ori at high spatial resolution. Our final predictions underline the importance of viscous heating as a predominant heat source for this type of object, changing the physical conditions (shape and temperature) of the disc, and influencing its evolution.</t>
  </si>
  <si>
    <t>Casassus, Simon/I-8609-2016; Pérez, Sebastián/AAS-5857-2020</t>
  </si>
  <si>
    <t>Perez, Sebastian/0000-0003-2953-755X; Alarcon, Felipe/0000-0002-2692-7862; Lyra, Wladimir/0000-0002-3768-7542; Cieza, Lucas/0000-0002-2828-1153; Casassus, Simon/0000-0002-0433-9840</t>
  </si>
  <si>
    <t>DEC 23</t>
  </si>
  <si>
    <t>10.1093/mnras/stad3734</t>
  </si>
  <si>
    <t>WOS:001133672400012</t>
  </si>
  <si>
    <t>Peralta, M; Gouveia, ÉR; Ferrari, G; Catunda, R; Heriques-Neto, D; Marques, A</t>
  </si>
  <si>
    <t>Peralta, Miguel; Gouveia, Elvio Rubio; Ferrari, Gerson; Catunda, Ricardo; Heriques-Neto, Duarte; Marques, Adilson</t>
  </si>
  <si>
    <t>Promoting Health-Related Cardiorespiratory Fitness in Physical Education: The Role of Lesson Context and Teacher Behavior in an Observational Longitudinal Study</t>
  </si>
  <si>
    <t>JOURNAL OF TEACHING IN PHYSICAL EDUCATION</t>
  </si>
  <si>
    <t>Purpose: Physical education (PE) is an important context for promoting health-related cardiorespiratory fitness (CRF) in youth. Within PE, the lesson context and teacher behavior may be relevant for the promotion CRF; however, evidence is scarce. Therefore, the purpose of this study was to assess whether students' CRF improvement in a school year was explained by PE lesson context and teacher behavior. Method: A 1-year observational one-group pretest/posttest study, including 212 students, was conducted. The Progressive Aerobic Cardiovascular Endurance Run (PACER) was used to assess CRF. The PE lesson context and teacher behavior were assessed using the System for Observing Fitness Instruction Time. Multivariate linear regression models were performed to examine the effect of time spent in each category of lesson content and teacher behavior on the change in PACER laps from the beginning to the end of the school year. Results: Lesson time spent in gameplay (boys: B = -0.24, 95% confidence interval [CI] [-0.45, -0.02]; girls: B = -0.17, 95% CI [-0.29, -0.04]), time spent by teachers in instruction tasks (boys: B = 0.38, 95% CI [0.17, 0.60]; girls: B = 0.33, 95% CI [0.17, 0.48]), and promoting fitness (girls: B = 1.40, 95% CI [0.60, 2.20]) were associated to PACER improvement. Lesson time spent in general content (boys: B = -0.24, 95% CI [-0.45, -0.02]; girls: B = -0.17, 95% CI [-0.29, -0.04]) and time spent by teachers in management tasks (boys: B = -0.42, 95% CI [-0.70, -0.15]; girls: B = -0.46, 95% CI [- 0.63, -0.28]) were negatively associated to PACER. Discussion/Conclusion: Promoting CRF in PE can be achieved by providing active class contexts, such as gameplay, reducing management time, and promoting in-class and out-of-class fitness.</t>
  </si>
  <si>
    <t>Ferrari, Gerson/HHM-6173-2022; Gouveia, Elvio/F-9156-2015; Marques, Adilson/K-4529-2014; Ferrari, Gerson/P-1152-2014; Henriques-Neto, Duarte/I-9265-2012; Peralta, Miguel/H-1666-2017</t>
  </si>
  <si>
    <t>Ferrari, Gerson/0000-0003-3177-6576; Henriques-Neto, Duarte/0000-0003-3780-6545; Peralta, Miguel/0000-0001-6072-6012</t>
  </si>
  <si>
    <t>0273-5024</t>
  </si>
  <si>
    <t>1543-2769</t>
  </si>
  <si>
    <t>10.1123/jtpe.2021-0132</t>
  </si>
  <si>
    <t>WOS:001081164800008</t>
  </si>
  <si>
    <t>Hyde, J; Lodha, Y; Navas, A; Rivas, C</t>
  </si>
  <si>
    <t>Hyde, James; Lodha, Yash; Navas, Andres; Rivas, Cristobal</t>
  </si>
  <si>
    <t>Uniformly perfect finitely generated simple left orderable groups</t>
  </si>
  <si>
    <t>ERGODIC THEORY AND DYNAMICAL SYSTEMS</t>
  </si>
  <si>
    <t>We show that the finitely generated simple left orderable groups G(rho) constructed by the first two authors in Hyde and Lodha [Finitely generated infinite simple groups of homeomorphisms of the real line. Invent. Math. (2019), doi:10.1007/s00222-01900880-7] are uniformly perfect-each element in the group can be expressed as a product of three commutators of elements in the group. This implies that the group does not admit any homogeneous quasimorphism. Moreover, any non-trivial action of the group on the circle, which lifts to an action on the real line, admits a global fixed point. It follows that any faithful action on the real line without a global fixed point is globally contracting. This answers Question 4 of the third author [A. Navas. Group actions on 1-manifolds: a list of very concrete open questions. Proceedings of the International Congress of Mathematicians, Vol. 2. Eds. B. Sirakov, P. Ney de Souza and M. Viana. World Scientific, Singapore, 2018, pp, 2029-2056], which asks whether such a group exists. This question has also been answered simultaneously and independently, using completely different methods, by Matte Bon and Triestino [Groups of piecewise linear homeomorphisms of flows. Preprint, 2018, arXiv:1811.12256]. To prove our results, we provide a characterization of elements of the group G(rho) which is a useful new tool in the study of these examples.</t>
  </si>
  <si>
    <t>Lodha, Yash/0000-0003-1262-5502; Navas Flores, Andres Ignacio/0000-0002-0853-5136; Lodha, Yash/0009-0004-4800-0103</t>
  </si>
  <si>
    <t>0143-3857</t>
  </si>
  <si>
    <t>1469-4417</t>
  </si>
  <si>
    <t>10.1017/etds.2019.59</t>
  </si>
  <si>
    <t>WOS:000590477100009</t>
  </si>
  <si>
    <t>Olivares, LA; González-Bustamante, B; Maureira, ST; Arellano, JC; Yanes-Rojas, A; Zurita-Tapia, J; Lopes, AV; Guzmán, CR; Sosa, JBC</t>
  </si>
  <si>
    <t>Alejandro Olivares, L.; Gonzalez-Bustamante, Bastian; Toro Maureira, Sergio; Carlos Arellano, Juan; Yanes-Rojas, Anabel; Zurita-Tapia, Jose; Lopes, Amanda Vitoria; Robelo Guzman, Claudio; Canavesi Sosa, Juan Bautista</t>
  </si>
  <si>
    <t>NEW CHALLENGES, APPROACHES AND PERSPECTIVES TO STUDY POLITICAL ELITES</t>
  </si>
  <si>
    <t>IBEROAMERICANA</t>
  </si>
  <si>
    <t>González-Bustamante, Bastián/HLQ-1514-2023; Toro, Sergio/AGH-6415-2022; Olivares L., Alejandro/C-8974-2014</t>
  </si>
  <si>
    <t>Olivares L., Alejandro/0000-0001-6934-2437</t>
  </si>
  <si>
    <t>1577-3388</t>
  </si>
  <si>
    <t>2255-520X</t>
  </si>
  <si>
    <t>10.18441/ibam.20.2020.74.229-259</t>
  </si>
  <si>
    <t>WOS:000554997800012</t>
  </si>
  <si>
    <t>Ramírez-Vélez, R; Correa-Bautista, JE; García-Hermoso, A; Cano, CA; Izquierdo, M</t>
  </si>
  <si>
    <t>Ramirez-Velez, Robinson; Enrique Correa-Bautista, Jorge; Garcia-Hermoso, Antonio; Alberto Cano, Carlos; Izquierdo, Mikel</t>
  </si>
  <si>
    <t>Reference values for handgrip strength and their association with intrinsic capacity domains among older adults</t>
  </si>
  <si>
    <t>JOURNAL OF CACHEXIA SARCOPENIA AND MUSCLE</t>
  </si>
  <si>
    <t>Objective The purposes of this study were three-fold: (i) to describe handgrip strength in older individuals aged &gt;= 60 years in Colombia; (ii) to identify sex-specific and age-specific muscle weakness cut-off points in older adults; and (iii) to determine the odds of adverse events for each of the intrinsic capacity domains for individuals with handgrip strength greater than the muscle weakness cut-off points, as compared with their weaker counterparts. Methods A cross-sectional study was conducted in Colombia, among 5237 older adults aged &gt;= 60 years old (58.5% women, 70.5 +/- 7.8 years), according to 'SABE Survey 2015'. Handgrip strength data were obtained with a Takei dynamometer. Sociodemographic variables, five domains of intrinsic capacity (i.e. locomotion, vitality, cognition, psychological, and sensory), and medical conditions were assessed and analyzed. Adjustments variables were age, ethnicity, socio-economic status, urbanicity, body mass index, smoking status, alcohol intake, drug use, physical activity, and co-morbid chronic diseases. Sex-stratified analyses were conducted with logistic regression models. Results Handgrip strength was greater among men than among women (26.7 +/- 8.5 vs. 16.7 +/- 5.7 kg, respectively, P &lt; 0.001) at all ages. Weak handgrip strength cut-off points ranged from 17.4 to 8.6 and from 10.1 to 4.9 in men and women, respectively. Overall, participants with optimal handgrip strength had better intrinsic capacity [in men, odds ratio (OR) = 0.62, 95% confidence interval (CI) 0.53 to 0.71; P &lt; 0.001; and in women, OR = 0.79, 95% CI 0.68 to 0.92; P = 0.002] than their weaker counterparts. Also, men with optimal handgrip strength had a lower risk of hospitalization (OR = 0.47, 95% CI 0.29 to 0.78; P = 0.004) than their weaker counterparts. Conclusions This study is the first to describe handgrip strength values and cut-off points for muscle weakness among a nationally representative sample of Colombian older adults by age and sex. After categorizing older adults as weak or not weak based on the handgrip cut-off points, non-weakness was associated with a decreased odds of intrinsic capacity impairments. These cut-off points may be good candidates for clinical assessment of risks to physical and mental health in older Colombian adults.</t>
  </si>
  <si>
    <t>García-Hermoso, Antonio/ADU-2591-2022; Correa-Bautista, Jorge Enrique/JDD-3131-2023; Izquierdo, Mikel/A-4894-2010; Garcia-Hermoso, Antonio/P-1857-2017; Ramirez-Velez, Robinson/D-5311-2016; Correa-Bautista, Jorge Enrique/N-2741-2015</t>
  </si>
  <si>
    <t>Izquierdo, Mikel/0000-0002-1506-4272; Garcia-Hermoso, Antonio/0000-0002-1397-7182; Ramirez-Velez, Robinson/0000-0003-3075-6960; Cano-Gutierrez, Carlos/0000-0001-5680-7880; Correa-Bautista, Jorge Enrique/0000-0002-0646-2316</t>
  </si>
  <si>
    <t>2190-5991</t>
  </si>
  <si>
    <t>2190-6009</t>
  </si>
  <si>
    <t>10.1002/jcsm.12373</t>
  </si>
  <si>
    <t>WOS:000465092100003</t>
  </si>
  <si>
    <t>López-Fuenzalida, A; Aguilar, LI; Canales, CR; Contreras-Briceño, F; Durán-Agüero, S; Herrera-Valenzuela, T; Valdés-Badilla, P</t>
  </si>
  <si>
    <t>Lopez-Fuenzalida, Antonio; Illanes Aguilar, Lucia; Rodriguez Canales, Carolina; Contreras-Briceno, Felipe; Duran-Aguero, Samuel; Herrera-Valenzuela, Tomas; Valdes-Badilla, Pablo</t>
  </si>
  <si>
    <t>Cardiometabolic risk and variation of fat/adipose content according to body mass index in children from six to nine years old</t>
  </si>
  <si>
    <t>Introduction: child excess weight has been associated with obesity in adulthood and, as a consequence, increased risk of death due to cardiometabolic factors. Objective: to identify whether BMI reflects changes in the content and distribution of fat/adipose tissue and the cardiometabolic risk in children between six and nine years old. Material and methods: participants were 537 children (59.8% women) randomly selected. BMI, waist circumference (WC), waist-height index (WHI), body composition, nutritional status and cardiometabolic risk were determined. Student's t-test, one-way ANOVA, Pearson's correlation, Chi-square and diagnostic concordance were applied. An alpha s. 0.05 was considered. Results: direct and significant correlations between nutritional status and the anthropometric parameters studied are shown, except for the percentage of adiposity. There were significant variations (p &lt; 0.05) in the percentage of fat and adiposity according to nutritional status of the sample. In addition, there was consistency between the variation of the nutritional status with the cardiometabolic risk evaluated trough WC and WHI. Conclusion: BMI identifies the differences in the amount of fat/adipose tissue in the children between six and nine years old when categorized according to nutritional status. In addition, it reflects direct association with cardiometabolic risk.</t>
  </si>
  <si>
    <t>BRICEÑO, FELIPE/AFS-9296-2022; HERRERA, TOMAS/AAH-3739-2019; Agüero, Samuel/AAZ-6140-2020</t>
  </si>
  <si>
    <t>CONTRERAS BRICENO, FELIPE ANDRES/0000-0002-0674-7506; Valdes-Badilla, Pablo/0000-0002-3948-8280; DURAN AGUERO, SAMUEL/0000-0002-0548-3676</t>
  </si>
  <si>
    <t>10.20960/nh.2071</t>
  </si>
  <si>
    <t>WOS:000464929400022</t>
  </si>
  <si>
    <t>Cruz-Montecinos, C; Torres-Castro, R; Otto-Yáñez, M; Barros-Poblete, M; Valencia, C; Campos, A; Jadue, L; Barros, M; Solis-Navarro, L; Resqueti, V</t>
  </si>
  <si>
    <t>Cruz-Montecinos, Carlos; Torres-Castro, Rodrigo; Otto-Yanez, Matias; Barros-Poblete, Marisol; Valencia, Carola; Campos, Alex; Jadue, Leticia; Barros, Marcela; Solis-Navarro, Lilian; Resqueti, Vanessa</t>
  </si>
  <si>
    <t>Which Sit-to-Stand Test Best Differentiates Functional Capacity in Older People?</t>
  </si>
  <si>
    <t>AMERICAN JOURNAL OF PHYSICAL MEDICINE &amp; REHABILITATION</t>
  </si>
  <si>
    <t>The sit-to-stand test provides insight into age-related functional capacity; however, there are various variants of sit-to-stand, and we do not know which of these better discriminates against age-related functional capacity. Our study aimed to compare the age-related functional capacity in older people by evaluating sit-to-stand power variants, using young individuals as a reference. A cross-sectional study was conducted in 102 adults (57 women) aged 60-80 and 105 adults (54 women) aged 20-30. Participants performed five times sit-to-stand (5 sit-to-stand), 30-second sit-to-stand, and 1-min sit-to-stand. Z scores were obtained for each sit-to-stand variant using power (W), relative (W/kg), and allometric (W/m2) normalization methods. A mixed repeated-measures analysis of variance assessed the interactions among the sit-to-stand variants, normalization methods, sex, physical activity, and tobacco history. A significant interaction between sit-to-stand variants, normalization methods, and sex (P = 0.002) was found. The mean effect of sit-to-stand variants revealed that the 1-min sit-to-stand had the lowest Z score (P &lt; 0.05). Significant variations were observed between sit-to-stand variants in all normalization methods for women (P &lt; 0.001). However, in men, only the difference between 5 sit-to-stand and 1-min sit-to-stand remained consistent across normalization methods (P &lt; 0.05). Our findings highlight the efficacy of 1-min sit-to-stand in distinguishing age-related functional capacity over the other sit-to-stand tests, especially in women.</t>
  </si>
  <si>
    <t>Torres-Castro, Rodrigo/E-3630-2014; Resqueti, Vanessa/I-3604-2015; Cruz-Montecinos, Carlos/L-4472-2017</t>
  </si>
  <si>
    <t>Cruz-Montecinos, Carlos/0000-0002-3835-3368; Otto Yanez, Matias/0000-0001-5784-275X; RESQUETI, VANESSA R./0000-0003-4817-9364</t>
  </si>
  <si>
    <t>0894-9115</t>
  </si>
  <si>
    <t>1537-7385</t>
  </si>
  <si>
    <t>10.1097/PHM.0000000000002504</t>
  </si>
  <si>
    <t>WOS:001312647800008</t>
  </si>
  <si>
    <t>Xu, XH; Jiang, LX; Bohle, SL; Medina, FM; Gu, MQ</t>
  </si>
  <si>
    <t>Xu, Xiaohong; Jiang, Lixin; Bohle, Sergio Lopez; Medina, Felipe Munoz; Gu, Meiqiao</t>
  </si>
  <si>
    <t>Why and when transformational leadership influences followers' qualitative job insecurity: A three-wave moderated mediation study</t>
  </si>
  <si>
    <t>APPLIED PSYCHOLOGY-AN INTERNATIONAL REVIEW-PSYCHOLOGIE APPLIQUEE-REVUE INTERNATIONALE</t>
  </si>
  <si>
    <t>This study explored the mediation role of follower organization-based self-esteem (OBSE) and the moderation role of workplace friendship in the relationship between transformational leadership and follower qualitative job insecurity. We adopted a three-wave longitudinal design and collected survey data from 142 Chilean employees. Cross-lagged mediation panel analysis indicated that transformational leadership had a lagged effect on follower OBSE, which, in turn, had a lagged effect on follower qualitative job insecurity. Further, follower workplace friendship moderated the effect of transformational leadership on follower OBSE such that transformational leadership only promoted follower OBSE when followers had high workplace friendship but did not significantly moderate the indirect effect of transformational leadership on follower qualitative job insecurity via OBSE. Integrating the leadership literature with the job insecurity literature, our study takes the first attempt to explore how, why, and when transformational leadership may influence follower qualitative job insecurity.</t>
  </si>
  <si>
    <t>Medina, Felipe/AAN-4304-2021; Bohle, Sergio/P-7698-2014</t>
  </si>
  <si>
    <t>Munoz Medina, Felipe/0000-0002-0425-2067; Jiang, Lixin/0000-0003-0853-9329; Lopez Bohle, Sergio/0000-0002-6202-4089</t>
  </si>
  <si>
    <t>0269-994X</t>
  </si>
  <si>
    <t>1464-0597</t>
  </si>
  <si>
    <t>10.1111/apps.12541</t>
  </si>
  <si>
    <t>WOS:001205968100001</t>
  </si>
  <si>
    <t>Hidalgo-Hermoso, E; Sepúlveda-García, P; Cabello, J; Celis, S; Valencia, C; Ortiz, C; Kemec, I; Moreira-Arce, D; Orsola, M; Canales, N; Garnham, A; Vera, F; Muller, A</t>
  </si>
  <si>
    <t>Hidalgo-Hermoso, Ezequiel; Sepulveda-Garcia, Paulina; Cabello, Javier; Celis, Sebastian; Valencia, Carola; Ortiz, Carolina; Kemec, Ignacio; Moreira-Arce, Dario; Orsola, Miguel; Canales, Nivia; Garnham, Antonio; Vera, Frank; Muller, Ananda</t>
  </si>
  <si>
    <t>Molecular survey and phylogenetic analysis of Bartonella sp., Coxiella sp., and hemoplamas in pudu (Pudu puda) from Chile: first report of Bartonella henselae in a wild ungulate species</t>
  </si>
  <si>
    <t>FRONTIERS IN VETERINARY SCIENCE</t>
  </si>
  <si>
    <t>Introduction: Recent evidence shows a high diversity of infectious agents in wildlife that represent a threat to human, domestic, and wild animal health. In Chile, wild populations of the most common cervid species, pudu (Pudu puda), have been reported as hosts for novel pathogens such as Mycoplasma ovis-like and a novel ecotype of Anaplasma phagocytophilum. A better understanding of the epidemiology of this group and other intracellular bacteria that might have cervids as hosts would enlighten their population relevance. This study aimed to determine the occurrence and genetic diversity of Bartonella spp., hemotropic mycoplasmas, and Coxiella burnetii in pudus from Chile.Methods: The DNA was extracted from the blood samples of 69 wild free-ranging and 30 captive pudus from Chile. A combination of real-time (nouG gene for Bartonella and IS1111 element for C. burnetii) and conventional PCR (16S rRNA for hemotropic Mycoplasma spp. and rpoB, gltA, and ITS for Bartonella spp.) was used for pathogen screening and molecular characterization.Results: DNA of Bartonella spp. was detected in 10.1% [95% CI (5.2-18.2%)] samples, hemotropic Mycoplasma spp. in 1.7% [95% CI (0.08-10.1%)], and C. burnetii in 1.0% [95% CI (0.05-6.3%)] samples. Two sequenced samples were identified as Mycoplasma ovis-like, and one free-ranging pudu was positive for C. burnetii. While one captive and two free-ranging pudus were positive for Bartonella henselae, one wild pudu was co-positive for B. henselae and Bartonella sp., similar to Bartonellae identified in ruminants.Discussion: To the best of our knowledge, this is the first report of B. henselae in wild ungulate species, and C. burnetii and Bartonella spp. in wild ungulate species in South America. Further research will be necessary to evaluate the potential role of pudu as reservoirs of infection and identify the sources for disease transmission among humans and wild and domestic animals.</t>
  </si>
  <si>
    <t>Hidalgo-Hermoso, Ezequiel/ABB-6056-2020; Ortiz, Carolina/ABE-8963-2020; Moreira-Arce, Dario/ABG-2898-2021</t>
  </si>
  <si>
    <t>Garnham, Antonio/0009-0003-8160-2870</t>
  </si>
  <si>
    <t>2297-1769</t>
  </si>
  <si>
    <t>NOV 16</t>
  </si>
  <si>
    <t>10.3389/fvets.2023.1161093</t>
  </si>
  <si>
    <t>WOS:001110923900001</t>
  </si>
  <si>
    <t>Dhanalakshmi, R; Sreekanth, TVM; Denardin, J; Rosaiah, P; Sangaraju, S; Yoo, K; Kim, J</t>
  </si>
  <si>
    <t>Dhanalakshmi, Radhalayam; Sreekanth, T. V. M.; Denardin, Juliano; Rosaiah, P.; Sangaraju, Sambasivam; Yoo, Kisoo; Kim, Jonghoon</t>
  </si>
  <si>
    <t>Sono-Magneto-Photocatalytic activity of Nd-BiFeO3/NiFe2O4 heterostructures</t>
  </si>
  <si>
    <t>A series of Bi0.90Nd0.10FeO3/NiFe2O4 (Nd-BFO/NFO) nanocomposites were prepared via a simple hydrothermal method and utilized to achieve a high photocatalytic response by imposing the coupled multiple energy fields including the ultrasonic and magnetic field (MF) to the photocatalytic system. Compared to the individual energy sources, the coupled fields displayed an improved catalytic activity towards the degradation of methylene violet (MV). Markedly, the Nd-BFO/NFO nanocomposites showed almost complete degradation (98.3 %) of the pollutant by applying the 40 kHz of ultrasonic and 0.25 T of MFs simultaneously to the photocatalysis. The improved photocatalytic performance is attributed to the separation of charge carriers and their increased migration rate, which are caused by the piezoelectric effect of BFO produced by external ultrasonic and the Lorentz force by MFs respectively.</t>
  </si>
  <si>
    <t>Rosaiah/B-4028-2014; Sreekanth, TVM/KIL-3043-2024; Sangaraju, Sambasivam/Z-5686-2019</t>
  </si>
  <si>
    <t>10.1016/j.matlet.2023.135209</t>
  </si>
  <si>
    <t>WOS:001080408900001</t>
  </si>
  <si>
    <t>Hales, AS; Pérez, S; Gonzalez-Ruilova, C; Cieza, LA; Williams, JP; Sheehan, PD; López, C; Casassus, S; Principe, DA; Zurlo, A</t>
  </si>
  <si>
    <t>Hales, Antonio S.; Perez, Sebastian; Gonzalez-Ruilova, Camilo; Cieza, Lucas A.; Williams, Jonathan P.; Sheehan, Patrick D.; Lopez, Cristian; Casassus, Simon; Principe, David A.; Zurlo, Alice</t>
  </si>
  <si>
    <t>ALMA Observations of Young Eruptive Stars: Continuum Disk Sizes and Molecular Outflows</t>
  </si>
  <si>
    <t>ASTROPHYSICAL JOURNAL</t>
  </si>
  <si>
    <t>We present Atacama Large Millimeter/submillimeter Array (ALMA) 1.3 mm observations of four young, eruptive star-disk systems at 0 ''.4 resolution: two FUors (V582 Aur and V900 Mon), one EXor (UZ Tau E), and one source with an ambiguous FU/EXor classification (GM Cha). The disks around GM Cha, V900 Mon, and UZ Tau E are resolved. These observations increase the sample of FU/EXors observed at subarcsecond resolution by 15%. The disk sizes and masses of FU/EXors objects observed by ALMA so far suggest that FUor disks are more massive than Class 0/I disks in Orion and Class II disks in Lupus of similar size. EXor disks in contrast do not seem to be distinguishable from these two populations. We reach similar conclusions when comparing the FU/EXor sample to the Class I and Class II disks in Ophiuchus. FUor disks around binaries are host to more compact disks than those in single-star systems, similar to noneruptive young disks. We detect a wide-angle outflow around GM Cha in (CO)-C-12 emission, wider than typical Class I objects and more similar to those found around some FUor objects. We use radiative transfer models to fit the continuum and line data of the well-studied disk around UZ Tau E. The line data are well described by a Keplerian disk, with no evidence of outflow activity (similar to other EXors). The detection of wide-angle outflows in FUors but not in EXors support the current picture in which FUors are more likely to represent an accretion burst in the protostellar phase (Class I), while EXors are smaller accretion events in the protoplanetary (Class II) phase.</t>
  </si>
  <si>
    <t>Zurlo, Alice/Q-5011-2019; Casassus, Simon/I-8609-2016; Pérez, Sebastián/AAS-5857-2020; Williams, Jonathan/B-1643-2009</t>
  </si>
  <si>
    <t>Williams, Jonathan/0000-0001-5058-695X; Gonzalez Ruilova, Camilo/0000-0003-4907-189X; Zurlo, Alice/0000-0002-5903-8316; Sheehan, Patrick/0000-0002-9209-8708; Cieza, Lucas/0000-0002-2828-1153; Perez, Sebastian/0000-0003-2953-755X; Casassus, Simon/0000-0002-0433-9840; Hales, Antonio/0000-0001-5073-2849; Principe, David/0000-0002-7939-377X</t>
  </si>
  <si>
    <t>0004-637X</t>
  </si>
  <si>
    <t>1538-4357</t>
  </si>
  <si>
    <t>10.3847/1538-4357/aba3c4</t>
  </si>
  <si>
    <t>WOS:000566198600001</t>
  </si>
  <si>
    <t>Calderón, R; Palma, P; Eltit, K; Arancibia-Miranda, N; Silva-Moreno, E; Yu, W</t>
  </si>
  <si>
    <t>Calderon, R.; Palma, P.; Eltit, K.; Arancibia-Miranda, N.; Silva-Moreno, E.; Yu, W.</t>
  </si>
  <si>
    <t>Field study on the uptake, accumulation and risk assessment of perchlorate in a soil-chard/spinach system: Impact of agronomic practices and fertilization</t>
  </si>
  <si>
    <t>The application of excessive fertilizer represents a primary source of entry for perchlorate into crop systems and thus has raised widespread concern regarding food safety. Several studies have reported the occurrence of perchlorate in vegetables. However, limited information is available on the fate of perchlorate in the soil-plant system. In this study, we performed field experiments to evaluate the effects of the application rate of Chilean nitrate fertilizer and the type of fertilization (manual or fertigation) on the uptake of perchlorate by plants grown in open fields. Interestingly, in the control, chard and spinach accumulated 21.3 and 25.9 mu g kg(-1), respectively. For both agronomic practices, the content of perchlorate in chard and spinach increased as the fertilizer application rate increased, with fertigation promoting more significant accumulations. Spinach accumulated almost two times more perchlorate than chard for all treatments: however, the concentrations generally remained below regulatory values. The intake of spinach and chard presented a low risk to human health for all age groups. These findings enhance our understanding of the environmental impact of the use of fertilizers in agriculture and food safety. (C) 2020 Elsevier B.V. All rights reserved.</t>
  </si>
  <si>
    <t>Silva-Moreno, Evelyn/B-9545-2012; Calderon, Raul/AAP-5930-2020; Arancibia-Miranda, Nicolás/I-6743-2013</t>
  </si>
  <si>
    <t>Silva-Moreno, Evelyn/0000-0001-8745-7916; Calderon Araya, Raul Alexis/0000-0002-1094-9661; Palma, Paulina/0000-0001-9156-6269</t>
  </si>
  <si>
    <t>JUN 1</t>
  </si>
  <si>
    <t>10.1016/j.scitotenv.2020.137411</t>
  </si>
  <si>
    <t>WOS:000521936300063</t>
  </si>
  <si>
    <t>Akentjew, TL; Terraza, C; Suazo, C; Maksimuck, J; Wilkens, CA; Vargas, F; Zavala, G; Ocaña, M; Enrione, J; García-Herrera, CM; Valenzuela, LM; Blaker, JJ; Khoury, M; Acevedo, JP</t>
  </si>
  <si>
    <t>Akentjew, Tamara L.; Terraza, Claudia; Suazo, Cristian; Maksimuck, Jekaterina; Wilkens, Camila A.; Vargas, Francisco; Zavala, Gabriela; Ocana, Macarena; Enrione, Javier; Garcia-Herrera, Claudio M.; Valenzuela, Loreto M.; Blaker, Jonny J.; Khoury, Maroun; Pablo Acevedo, Juan</t>
  </si>
  <si>
    <t>Rapid fabrication of reinforced and cell-laden vascular grafts structurally inspired by human coronary arteries</t>
  </si>
  <si>
    <t>Design strategies for small diameter vascular grafts are converging toward native-inspired tissue engineered grafts. A new automated technology is presented that combines a dip-spinning methodology for depositioning concentric cell-laden hydrogel layers, with an adapted solution blow spinning (SBS) device for intercalated placement of aligned reinforcement nanofibres. This additive manufacture approach allows the assembly of bio-inspired structural configurations of concentric cell patterns with fibres at specific angles and wavy arrangements. The middle and outer layers were tuned to structurally mimic the media and adventitia layers of native arteries, enabling the fabrication of small bore grafts that exhibit the J-shape mechanical response and compliance of human coronary arteries. This scalable automated system can fabricate cellularized multilayer grafts within 30 min. Grafts were evaluated by hemocompatibility studies and a preliminary in vivo carotid rabbit model. The dip-spinning-SBS technology generates constructs with native mechanical properties and cell-derived biological activities, critical for clinical bypass applications.</t>
  </si>
  <si>
    <t>Suazo Jara, Cristian/LLL-2163-2024; García-Herrera, Claudio/ABE-8991-2020; Enrione, Javier/I-9225-2014; zavala, gabriela/AAU-2913-2020; Valenzuela, Loreto/E-8094-2013</t>
  </si>
  <si>
    <t>vargas serrano, jose francisco/0000-0003-3158-5411; Acevedo, Juan Pablo/0000-0002-7404-3762; Zavala, Gabriela/0000-0002-4745-9498; Valenzuela, Loreto/0000-0002-5220-9602; Maksimcuka, Jekaterina/0000-0002-2897-1517; Khoury, Maroun/0000-0002-9965-6266; Garcia-Herrera, Claudio/0000-0002-1283-8551</t>
  </si>
  <si>
    <t>10.1038/s41467-019-11090-3</t>
  </si>
  <si>
    <t>WOS:000475469200002</t>
  </si>
  <si>
    <t>Riquelme, D; Silva, I; Philp, AM; Huidobro-Toro, JP; Cerda, O; Trimmer, JS; Leiva-Salcedo, E</t>
  </si>
  <si>
    <t>Riquelme, Denise; Silva, Ian; Philp, Ashleigh M.; Huidobro-Toro, Juan P.; Cerda, Oscar; Trimmer, James S.; Leiva-Salcedo, Elias</t>
  </si>
  <si>
    <t>Subcellular Localization and Activity of TRPM4 in Medial Prefrontal Cortex Layer 2/3</t>
  </si>
  <si>
    <t>FRONTIERS IN CELLULAR NEUROSCIENCE</t>
  </si>
  <si>
    <t>TRPM4 is a Ca2+-activated non-selective cationic channel that conducts monovalent cations. TRPM4 has been proposed to contribute to burst firing and sustained activity in several brain regions, however, the cellular and subcellular pattern of TRPM4 expression in medial prefrontal cortex (mPFC) during postnatal development has not been elucidated. Here, we use multiplex immunofluorescence labeling of brain sections to characterize the postnatal developmental expression of TRPM4 in the mouse mPFC. We also performed electrophysiological recordings to correlate the expression of TRPM4 immunoreactivity with the presence of TRPM4-like currents. We found that TRPM4 is expressed from the first postnatal day, with expression increasing up to postnatal day 35. Additionally, in perforated patch clamp experiments, we found that TRPM4like currents were active at resting membrane potentials at all postnatal ages studied. Moreover, TRPM4 is expressed in both pyramidal neurons and interneurons. TRPM4 expression is localized in the soma and proximal dendrites, but not in the axon initial segment of pyramidal neurons. This subcellular localization is consistent with a reduction in the basal current only when we locally perfused 9-Phenanthrol in the soma, but not upon perfusion in the medial or distal dendrites. Our results show a specific localization of TRPM4 expression in neurons in the mPFC and that a 9-Phenanthrol sensitive current is active at resting membrane potential, suggesting specific functional roles in mPFC neurons during postnatal development and in adulthood.</t>
  </si>
  <si>
    <t>Trimmer, James/GQZ-3671-2022; Cerda, Oscar/N-3895-2018; Silva, Ian/KSL-7135-2024</t>
  </si>
  <si>
    <t>Cerda, Oscar/0000-0003-2873-5722; Silva, Ian/0009-0009-1878-4003; Philp, Ashleigh/0000-0002-7783-0278</t>
  </si>
  <si>
    <t>1662-5102</t>
  </si>
  <si>
    <t>10.3389/fncel.2018.00012</t>
  </si>
  <si>
    <t>WOS:000423590600002</t>
  </si>
  <si>
    <t>Flores, EIS; Ajaj, RM; Dayyani, I; Chandra, Y; Das, R</t>
  </si>
  <si>
    <t>Saavedra Flores, E. I.; Ajaj, R. M.; Dayyani, I.; Chandra, Y.; Das, R.</t>
  </si>
  <si>
    <t>Multi-scale model updating for the mechanical properties of cross-laminated timber</t>
  </si>
  <si>
    <t>COMPUTERS &amp; STRUCTURES</t>
  </si>
  <si>
    <t>In this paper we propose a homogenisation-based four-scale model for the mechanical properties of cross-laminated timber. The spatial scales considered in this study are the wood cell-wall, the wood fibres, growth rings and the structural scale. The computational homogenisation scheme is solved sequently from the lowest to the highest level in order to determine the effective mechanical properties of each material scale. As we are interested in improving the predictions of our computational simulations, we propose an optimisation strategy to calibrate the micro-mechanical parameters. Our numerical predictions are compared with experimental results and are validated successfully. (C) 2016 Elsevier Ltd. All rights reserved.</t>
  </si>
  <si>
    <t>Flores, Erick/I-7646-2012; Ajaj, Rafic/P-6314-2016</t>
  </si>
  <si>
    <t>Das, Raj/0000-0001-9977-6201; Chandra, Yatish/0000-0002-3126-1276; Dayyani, Iman/0000-0001-8956-2090</t>
  </si>
  <si>
    <t>0045-7949</t>
  </si>
  <si>
    <t>1879-2243</t>
  </si>
  <si>
    <t>10.1016/j.compstruc.2016.08.009</t>
  </si>
  <si>
    <t>WOS:000386989300007</t>
  </si>
  <si>
    <t>Saldias, M; Paredes-Garcia, V; Vega, A; Cañon-Mancisidor, W; Le Fur, E; Venegas-Yazigi, D; Spodine, E</t>
  </si>
  <si>
    <t>Saldias, M.; Paredes-Garcia, V.; Vega, A.; Canon-Mancisidor, W.; Le Fur, E.; Venegas-Yazigi, D.; Spodine, E.</t>
  </si>
  <si>
    <t>One dimensional inorganic oxovanadium polymers functionalized with manganese(II) complexes: Structural and magnetic characterization</t>
  </si>
  <si>
    <t>Two organo-inorganic hybrid manganese(II) vanadates [Mn(phen)(2)(VO3)(2)](infinity) (1) and [{Mn(bipY)(VO3)(2)} [VO2(bipy))(VO3)(V2O6)](infinity) (2) were synthesized hydrothermally. Compound 1 is a chain consisting in VO3 units propagating along the b axis, decorated with {Mn(phen)2}(+2) subunits. Compound 2 is a ladder like structure propagating along the a axis, consisting of two helical chains connected by the heterobinuclear [Mn(bipy)VO4 (2,2'-bipy)] moieties, generating a double helical structure. Magnetization measurements reveal that dominant antiferromagnetic interactions are mediated between the manganese(II) centers for both structures through oxovanadate bridges. Magnetic data of compound 1 were fitted with the analytical expression for a regular chain model, estimating a J value of -0.30 cm(-1). The DAVE code was use to fit experimental data and calculate the values of the super exchange constants for 2, assuming four different exchange pathways, J(12) = -0.17 cm(-1): J(23) = -0.12 cm(-1); J(13) = -0.08 cm(-1); J(24) = 0.05 cm(-1). DFT calculations on a tetranuclear fragment of 2, using diamagnetic substitutions, gave super exchange values of J(12) = 17.5 cm(-1) and J(23) = 8.5 cm(-1), corroborating the antiferromagnetic nature of the interactions as observed experimentally. (c) 2012 Elsevier Ltd. All rights reserved.</t>
  </si>
  <si>
    <t>Paredes-Garcia, Veronica/C-4415-2011; Vega, Andres/B-2122-2010; Canon-Mancisidor, Walter/K-8764-2014; Venegas-Yazigi, Diego/C-5022-2009</t>
  </si>
  <si>
    <t>Vega, Andres/0000-0001-6501-4161; Canon-Mancisidor, Walter/0000-0003-1703-8729; Venegas-Yazigi, Diego/0000-0001-7816-2841</t>
  </si>
  <si>
    <t>JUN 28</t>
  </si>
  <si>
    <t>10.1016/j.poly.2012.04.031</t>
  </si>
  <si>
    <t>WOS:000309096800016</t>
  </si>
  <si>
    <t>Rojas, A; Misic, D; Dicastillo, CLD; Zizovic, I; Velásquez, E; Gutiérrez, D; Aguila, G; Vidal, CP; Guarda, A; Galotto, MJ</t>
  </si>
  <si>
    <t>Rojas, Adrian; Misic, Dusan; Dicastillo, Carol Lopez de; Zizovic, Irena; Velasquez, Eliezer; Gutierrez, Danae; Aguila, Gonzalo; Vidal, Cristian Patino; Guarda, Abel; Galotto, Maria Jose</t>
  </si>
  <si>
    <t>A review on thymol-based bioactive materials for food packaging</t>
  </si>
  <si>
    <t>INDUSTRIAL CROPS AND PRODUCTS</t>
  </si>
  <si>
    <t>Strict legislation in developed countries concerning the usage and disposal of many chemicals, during the last few decades, brought industrial innovations based on sustainable green processes and nature-based solutions, eliminating toxic wastes and opening the space for broader implementation of natural bioactive compounds and extracts. Thymol, a natural monoterpene with a broad spectrum of strong biological activities, began to be widely applied in science and industry, including the production of active food packaging materials. In this framework, this article provides a comprehensive review on the use of thymol for active food packaging, summarizing reported technologies and explaining the impact of its addition on the thermal, structural, mechanical, and barrier properties of polymeric films. Moreover, this review analysis effects of films' physical properties on the release of thymol and revises the strategies to tune the release kinetics. It also provides a critical and comprehensive analysis of the published data on the antimicrobial properties of active films containing thymol. Based on the presented data, knowledge gaps were identified, and possible research trends were discussed. The analysis of the presented technologies showed that supercritical solvent impregnation might overcome the drawbacks of conventional processes, such as high thymol loss and its uneven distribution. The reviewed data indicated that bioactive polymeric materials containing thymol, especially PLA, might have applications in flexible and semirigid packaging because of the improvement of polymer ductility. As a successful strategy of tunning thymol's release kinetics, its inclusion into structures such as cyclodextrins and metal-organic frameworks is</t>
  </si>
  <si>
    <t>Rojas, Adrián/AAR-9441-2021; Aguila, Gonzalo/M-6404-2019; Zizovic, Irena/AAM-4954-2020; Patiño Vidal, Cristian Javier/JDM-7961-2023; Lopez-de-Dicastillo, Carol/C-6347-2019</t>
  </si>
  <si>
    <t>Patino Vidal, Cristian Javier/0000-0002-5633-6908; Zizovic, Irena/0000-0003-3945-7051; Aguila, Gonzalo/0000-0003-3441-4175; Rojas, Adrian/0000-0001-9253-1295; Lopez-de-Dicastillo, Carol/0000-0003-0067-9765; VELASQUEZ, ELIEZER/0000-0001-8858-8926</t>
  </si>
  <si>
    <t>0926-6690</t>
  </si>
  <si>
    <t>1872-633X</t>
  </si>
  <si>
    <t>OCT 15</t>
  </si>
  <si>
    <t>10.1016/j.indcrop.2023.116977</t>
  </si>
  <si>
    <t>JUN 2023</t>
  </si>
  <si>
    <t>WOS:001023439800001</t>
  </si>
  <si>
    <t>Jeria, N; Cornejo, S; Prado, G; Bustamante, A; Garcia-Diaz, DF; Jimenez, P; Valenzuela, R; Poblete-Aro, C; Echeverria, F</t>
  </si>
  <si>
    <t>Jeria, Nicolas; Cornejo, Sebastian; Prado, Gabriel; Bustamante, Andres; Garcia-Diaz, Diego F.; Jimenez, Paula; Valenzuela, Rodrigo; Poblete-Aro, Carlos; Echeverria, Francisca</t>
  </si>
  <si>
    <t>Beneficial Effects of Bioactive Compounds Obtained from Agro-Industrial By-Products on Obesity and Metabolic Syndrome Components</t>
  </si>
  <si>
    <t>FOOD REVIEWS INTERNATIONAL</t>
  </si>
  <si>
    <t>The generation of agro-industrial by-products is an economic and environmental problem. However, these raw materials could be a suitable source for obtaining bioactive compounds for technological or nutritional purposes. On the other hand, obesity and metabolic syndrome prevalence are in continuous growth. The classical approach of hypocaloric diet and exercise has shown little long-term adherence. Thus, there is an unending search for new strategies to prevent and treat obesity and related metabolic alterations. In that sense, the revalorization of agro-industrial by-products for functional foods and nutraceutical development has gained relevance. Pomegranate, onion, and grape by-products, among others, have been described as promising raw materials for bioactive compounds obtention. Nevertheless, scientific evidence on the effects of specific sources and bioactive compounds on obesity models and clinical trials is needed. This article aims to show available data from studies on the effect of bioactive compounds obtained from agro-industrial by-products on obesity and metabolic syndrome components.</t>
  </si>
  <si>
    <t>Poblete, Carlos/HOF-8260-2023; Jiménez, Paula/H-3136-2018; Echeverría, Francisca/ISV-5437-2023; Garcia, Diego/AGH-4056-2022; Bustamante, Andres/IZP-8336-2023; Bustamante, Andres/P-6371-2017; Echeverria, Francisca/M-3207-2018</t>
  </si>
  <si>
    <t>Valenzuela, Rodrigo/0000-0001-9298-6142; Bustamante, Andres/0000-0003-4843-2382; Echeverria, Francisca/0000-0002-9661-0377; Prado Penaloza, Gabriel/0000-0002-3834-623X; Garcia-Diaz, Diego/0000-0002-7551-0553; Poblete-Aro, Carlos/0000-0001-9554-3996; Cornejo Leppe, Sebastian Ignacio/0000-0001-8014-4220</t>
  </si>
  <si>
    <t>8755-9129</t>
  </si>
  <si>
    <t>1525-6103</t>
  </si>
  <si>
    <t>10.1080/87559129.2021.2013498</t>
  </si>
  <si>
    <t>JAN 2022</t>
  </si>
  <si>
    <t>WOS:000739723900001</t>
  </si>
  <si>
    <t>López-Gil, JF; García-Hermoso, A; Brazo-Sayavera, J; López, PJT; Lucas, JLY</t>
  </si>
  <si>
    <t>Lopez-Gil, Jose Francisco; Garcia-Hermoso, Antonio; Brazo-Sayavera, Javier; Tarraga Lopez, Pedro Juan; Yuste Lucas, Juan Luis</t>
  </si>
  <si>
    <t>Cardiorespiratory Fitness as Mediator of the Relationship of Recreational Screen Time on Mediterranean Diet Score in Schoolchildren</t>
  </si>
  <si>
    <t>Background: Studies have reported the association between cardiorespiratory fitness and higher adherence to the Mediterranean diet as well as lower recreational screen time. Similarly, higher screen time has been negatively linked to a lower adherence to the Mediterranean diet. However, the mediator effect of cardiorespiratory fitness on the influence of screen time on adherence to the Mediterranean diet is still unknown. The aim of this study was two-fold: first, to assess the combined association of recreational screen time and cardiorespiratory fitness with adherence to Mediterranean diet among Spanish schoolchildren, and second, to elucidate whether the association between recreational screen time and adherence to the Mediterranean diet is mediated by cardiorespiratory fitness. Methods: A descriptive and cross-sectional study was conducted. A total of 370 schoolchildren aged 6-13 years from six schools in the Region of Murcia (Spain) were included. Results: The mediation analysis showed that once screen time and cardiorespiratory fitness were included together in the model, cardiorespiratory fitness was positively linked to adherence to the Mediterranean diet (p = 0.020) and although screen time remained negatively related to adherence to the Mediterranean diet, this association was slightly attenuated (indirect effect = -0.027; 95% CI = (-0.080, -0.002)). Conclusions: This research supports that cardiorespiratory fitness may reduce the negative association between screen time and Mediterranean dietary patterns.</t>
  </si>
  <si>
    <t>García-Hermoso, Antonio/ADU-2591-2022; López-Gil, José Francisco/AAN-5618-2020; Brazo-Sayavera, Javier/G-5601-2011; Garcia-Hermoso, Antonio/P-1857-2017</t>
  </si>
  <si>
    <t>Lopez-Gil, Jose Francisco/0000-0002-7412-7624; Brazo-Sayavera, Javier/0000-0001-6249-5131; Tarraga Lopez, Pedro Juan/0000-0002-5222-5784; Garcia-Hermoso, Antonio/0000-0002-1397-7182; yuste lucas, juan luis/0000-0001-9699-756X</t>
  </si>
  <si>
    <t>10.3390/ijerph18094490</t>
  </si>
  <si>
    <t>WOS:000650269600001</t>
  </si>
  <si>
    <t>Valdivia, JA; Toledo, BA; Gallo, N; Muñoz, V; Rogan, J; Stepanova, M; Moya, PS; Navarro, RE; Viñas, AF; Araneda, J; López, RA; Díaz, M</t>
  </si>
  <si>
    <t>Valdivia, J. A.; Toledo, B. A.; Gallo, N.; Munoz, V.; Rogan, J.; Stepanova, M.; Moya, P. S.; Navarro, R. E.; Vinas, A. F.; Araneda, J.; Lopez, R. A.; Diaz, M.</t>
  </si>
  <si>
    <t>Magnetic fluctuations in anisotropic space plasmas: The effect of the plasma environment</t>
  </si>
  <si>
    <t>The observations in the solar wind, which are usually organized in a beta-anisotropy diagram, seem to be constrained by linear instability thresholds. Unexpectedly, under these quasi-stable conditions, there is a finite level of electromagnetic fluctuations. A relevant component of these fluctuations can be understood in terms of the electromagnetic fields produced by the thermal motion of the charged particles. For the simple case of parallel propagating fields in an electron-proton plasma, we study the effect of the parameter omega(pp)/Omega(c) that characterizes the different space physics environments, and can affect the continuum spectrum produced by these fluctuations, which in turn may be used to understand the relevance of these processes occurring in a specific plasma environment. (C) 2016 COSPAR. Published by Elsevier Ltd. All rights reserved.</t>
  </si>
  <si>
    <t>Rogan, José/B-8819-2008; Valdivia, Juan/A-3631-2008; Munoz, Victor/A-2255-2008; Araneda, Jaime/J-9245-2015; Diaz, Marcos/I-1125-2013; Navarro, Roberto/V-7707-2018; Toledo, Benjamin/HZH-2787-2023; Toledo, Benjamin/A-1136-2008; Stepanova, Marina/D-6329-2011; Lopez, Rodrigo/H-7576-2013; Moya, Pablo S./C-3163-2011</t>
  </si>
  <si>
    <t>Munoz, Victor/0000-0003-1746-4875; Toledo, Benjamin/0000-0001-5928-2290; Valdivia, Juan Alejandro/0000-0003-3381-9904; Rogan, Jose/0000-0003-1080-2739; Stepanova, Marina/0000-0002-1053-3375; Lopez, Rodrigo/0000-0003-3223-1498; Araneda, Jaime/0000-0001-5144-7011; Moya, Pablo S./0000-0002-9161-0888</t>
  </si>
  <si>
    <t>1879-1948</t>
  </si>
  <si>
    <t>10.1016/j.asr.2016.04.017</t>
  </si>
  <si>
    <t>WOS:000387521000023</t>
  </si>
  <si>
    <t>Cox, CJ; Rowe, PM; Neshyba, SP; Walden, VP</t>
  </si>
  <si>
    <t>Cox, Christopher J.; Rowe, Penny M.; Neshyba, Steven P.; Walden, Von P.</t>
  </si>
  <si>
    <t>A synthetic data set of high-spectral-resolution infrared spectra for the Arctic atmosphere</t>
  </si>
  <si>
    <t>EARTH SYSTEM SCIENCE DATA</t>
  </si>
  <si>
    <t>Cloud microphysical and macrophysical properties are critical for understanding the role of clouds in climate. These properties are commonly retrieved from ground-based and satellite-based infrared remote sensing instruments. However, retrieval uncertainties are difficult to quantify without a standard for comparison. This is particularly true over the polar regions, where surface-based data for a cloud climatology are sparse, yet clouds represent a major source of uncertainty in weather and climate models. We describe a synthetic high-spectral-resolution infrared data set that is designed to facilitate validation and development of cloud retrieval algorithms for surface- and satellite-based remote sensing instruments. Since the data set is calculated using pre-defined cloudy atmospheres, the properties of the cloud and atmospheric state are known a priori. The atmospheric state used for the simulations is drawn from radiosonde measurements made at the North Slope of Alaska (NSA) Atmospheric Radiation Measurement (ARM) site at Barrow, Alaska (71.325 degrees N, 156.615 degrees W), a location that is generally representative of the western Arctic. The cloud properties for each simulation are selected from statistical distributions derived from past field measurements. Upwelling (at 60 km) and downwelling (at the surface) infrared spectra are simulated for 260 cloudy cases from 50 to 3000 cm(-1) (3.3 to 200 mu m) at monochromatic (line-by-line) resolution at a spacing of similar to 0.01 cm(-1) using the Line-by-line Radiative Transfer Model (LBLRTM) and the discrete-ordinate-method radiative transfer code (DISORT). These spectra are freely available for interested researchers from the NSF Arctic Data Center data repository</t>
  </si>
  <si>
    <t>1866-3508</t>
  </si>
  <si>
    <t>1866-3516</t>
  </si>
  <si>
    <t>10.5194/essd-8-199-2016</t>
  </si>
  <si>
    <t>WOS:000378206900016</t>
  </si>
  <si>
    <t>Manzur, J; Mora, H; Vega, A; Venegas-Yazigi, D; Novak, MA; Sabino, JR; Paredes-García, V; Spodine, E</t>
  </si>
  <si>
    <t>Manzur, Jorge; Mora, Hector; Vega, Andres; Venegas-Yazigi, Diego; Novak, Miguel A.; Sabino, Jose Ricardo; Paredes-Garcia, Veronica; Spodine, Evgenia</t>
  </si>
  <si>
    <t>Mononuclear and Polynuclear Copper(II) Complexes Derived from Pyridylalkylaminomethylphenol Polypodal Ligands</t>
  </si>
  <si>
    <t>INORGANIC CHEMISTRY</t>
  </si>
  <si>
    <t>Four mononuclear complexes [Cu(HL1)CI]PF6 center dot CH3OH (1), [Cu(HSL1)CI]PF6 center dot 0.75H(2)O (2), [Cu(HL2)CI]PF6 center dot CH3OH (3), [Cu(HSL2)CI]PF6 center dot 1.5CH(3)OH (4), and two polynuclear complexes [Cu-2(SL2)(2)](PF6)(2)center dot 2CH(3)OH (5) and {Cu[Cu(SL2)(CI)](2)}(PF6)(2) (6) (HL1: 2-[(bis(2-pyridylmethyl)-amino)methyl]-4-methylphenol; HSL1: 2-[(bis(2-pyridylmethyl)amino) methyl]-4-methyl-6-(methyl-thio)phenol; HL2: 2-[(2-pyridylmethyl)(2'-pyridylethyl)-aminomethyl)]-4-methylphenol; HSL2: 2-[(2-pyridylmethyl)(2'-pyridylethyl)amino-methyl]-4-methyl-6-(methythio)phenol were obtained and characterized. The crystal structures of the mononuclear complexes 1-4 show the copper centers in a square-base pyramidal environment with the phenolic oxygen coordinated at the axial position. Dinuclear complex 5 has two copper centers with different geometry and bridged by phenoxo oxygens; one of the copper atoms is square pyrmidal while the other can be described with a highly distorted octahedral geometry with a long Cu-S distance (2.867 angstrom). Density functional theory calculations were used to obtain the reported structure of 6, since single crystals suitable for X-ray diffraction were not isolated. Magnetic studies done for 5 and 6 show an antiferromagnetic behavior for 5 (J = -134 cm(-1)) and a ferromagnetic behavior for 6 (J = +11.9 cm(-1)). Redox potentials for the mononuclear complexes were measured by cyclic voltammetry; the values show the effect of the chelating ring size (-213 mV and - 142 mV for Cu-HL1 and Cu-HL2, respectively) and the presence of the thiomethyl substituent (-213 mV and -184 mV for Cu-HL1 and Cu-HSL1, respectively).</t>
  </si>
  <si>
    <t>Paredes-Garcia, Veronica/C-4415-2011; Novak, Miguel/IZP-7982-2023; Manzur, Jorge/H-3824-2013; Vega, Andres/B-2122-2010; SABINO, JOSE/AAB-5846-2021; Venegas-Yazigi, Diego/C-5022-2009</t>
  </si>
  <si>
    <t>SABINO, JOSE RICARDO/0000-0002-3332-9967; Vega, Andres/0000-0001-6501-4161; Venegas-Yazigi, Diego/0000-0001-7816-2841</t>
  </si>
  <si>
    <t>0020-1669</t>
  </si>
  <si>
    <t>SEP 21</t>
  </si>
  <si>
    <t>10.1021/ic901026x</t>
  </si>
  <si>
    <t>WOS:000269671500027</t>
  </si>
  <si>
    <t>Salomon, R; Furones, MD; Reyes-Lopez, FE; Tort, L; Firmino, JP; Esteban, MA; Ruiz, CE; Quintela, JC; Pinilla-Rosas, JM; Vallejos-Vidal, E; Gisbert, E</t>
  </si>
  <si>
    <t>Salomon, Ricardo; Furones, M. Dolors; Reyes-Lopez, Felipe E.; Tort, Lluis; Firmino, Joana P.; Esteban, M. Angeles; Espinosa Ruiz, Cristobal; Quintela, Jose C.; Pinilla-Rosas, Jose M.; Vallejos-Vidal, Eva; Gisbert, Enric</t>
  </si>
  <si>
    <t>A Bioactive Extract Rich in Triterpenic Acid and Polyphenols from Olea europaea Promotes Systemic Immunity and Protects Atlantic Salmon Smolts Against Furunculosis</t>
  </si>
  <si>
    <t>FRONTIERS IN IMMUNOLOGY</t>
  </si>
  <si>
    <t>In the present study, the modulation of the transcriptional immune response (microarray analysis) in the head kidney (HK) of the anadromous fish Atlantic salmon (Salmo salar) fed a diet supplemented with an olive fruit extract (AQUOLIVE(R)) was evaluated. At the end of the trial (133 days), in order to investigate the immunomodulatory properties of the phytogenic tested against a bacterial infection, an in vivo challenge with Aeromonas salmonicida was performed. A total number of 1,027 differentially expressed genes (DEGs) (805 up- and 222 downregulated) were found when comparing the transcriptomic profiling of the HK from fish fed the control and AQUOLIVE(R) diets. The HK transcripteractome revealed an expression profile that mainly favored biological processes related to immunity. Particularly, the signaling of i-kappa B kinase/NF-kappa and the activation of leukocytes, such as granulocytes and neutrophils degranulation, were suggested to be the primary actors of the innate immune response promoted by the tested functional feed additive in the HK. Moreover, the bacterial challenge with A. salmonicida that lasted 12 days showed that the cumulative survival was higher in fish fed the AQUOLIVE(R) diet (96.9 +/- 6.4%) than the control group (60.7 +/- 13.5%). These results indicate that the dietary supplementation of AQUOLIVE(R) at the level of 0.15% enhanced the systemic immune response and reduced the A. salmonicida cumulative mortality in Atlantic salmon smolts.</t>
  </si>
  <si>
    <t>Salomón, Ricardo/ABC-8308-2021; Firmino, Joana/AAX-1575-2021; Esteban, María/D-6709-2011; Tort, Lluis/H-5650-2011; Reyes-López, Felipe/S-1760-2018; Furones, Maria Dolores/L-1652-2014; Vallejos-Vidal, Eva/R-9606-2019; Gisbert, Enric/B-3654-2011; Espinosa Ruiz, Cristobal/C-2555-2019</t>
  </si>
  <si>
    <t>Vallejos-Vidal, Eva/0000-0002-3091-2700; Salomon Figueredo, Ricardo/0000-0003-1433-2789; Firmino, Joana/0000-0002-7694-0416; Reyes-Lopez, Felipe E./0000-0002-5001-457X; Quintela, Jose Carlos/0000-0001-8479-129X; Gisbert, Enric/0000-0002-7457-8468; Espinosa Ruiz, Cristobal/0000-0002-3063-1634; Esteban, Maria Angeles/0000-0002-6264-1458</t>
  </si>
  <si>
    <t>1664-3224</t>
  </si>
  <si>
    <t>NOV 12</t>
  </si>
  <si>
    <t>10.3389/fimmu.2021.737601</t>
  </si>
  <si>
    <t>WOS:000726078700001</t>
  </si>
  <si>
    <t>Cubillos, FA; Gibson, B; Grijalva-Vallejos, N; Krogerus, K; Nikulin, J</t>
  </si>
  <si>
    <t>Cubillos, Francisco A.; Gibson, Brian; Grijalva-Vallejos, Nubia; Krogerus, Kristoffer; Nikulin, Jarkko</t>
  </si>
  <si>
    <t>Bioprospecting for brewers: Exploiting natural diversity for naturally diverse beers</t>
  </si>
  <si>
    <t>YEAST</t>
  </si>
  <si>
    <t>The burgeoning interest in archaic, traditional, and novel beer styles has coincided with a growing appreciation of the role of yeasts in determining beer character as well as a better understanding of the ecology and biogeography of yeasts. Multiple studies in recent years have highlighted the potential of wild Saccharomyces and non-Saccharomyces yeasts for production of beers with novel flavour profiles and other desirable properties. Yeasts isolated from spontaneously fermented beers as well as from other food systems (wine, bread, and kombucha) have shown promise for brewing application, and there is evidence that such cross-system transfers have occurred naturally in the past. We review here the available literature pertaining to the use of nonconventional yeasts in brewing, with a focus on the origins of these yeasts, including methods of isolation. Practical aspects of utilizing nondomesticated yeasts are discussed, and modern methods to facilitate discovery of yeasts with brewing potential are highlighted.</t>
  </si>
  <si>
    <t>Cubillos, Francisco/MIT-2389-2025; Krogerus, Kristoffer/F-1019-2013; Cubillos, Francisco/G-5195-2019</t>
  </si>
  <si>
    <t>Krogerus, Kristoffer/0000-0001-7694-8277; Nikulin, Jarkko/0000-0001-9653-4100; Cubillos, Francisco/0000-0003-3022-469X; Gibson, Brian/0000-0002-1270-6532</t>
  </si>
  <si>
    <t>0749-503X</t>
  </si>
  <si>
    <t>1097-0061</t>
  </si>
  <si>
    <t>10.1002/yea.3380</t>
  </si>
  <si>
    <t>WOS:000472206700001</t>
  </si>
  <si>
    <t>Lamas, E; Salinas, R; Coquedano, C; Simon, MP; Bousquet, C; Ferrer, M; Zorrilla, S</t>
  </si>
  <si>
    <t>Engelbrecht, R; Balicer, R; HercigonjaSzekeres, M</t>
  </si>
  <si>
    <t>Lamas, Eugenia; Salinas, Rodrigo; Coquedano, Carla; Simon, Marie-Pierre; Bousquet, Cedric; Ferrer, Marcela; Zorrilla, Sergio</t>
  </si>
  <si>
    <t>The Meaning of Patient Empowerment in the Digital Age: The Role of Online Patient-Communities</t>
  </si>
  <si>
    <t>PRACTICE OF PATIENT CENTERED CARE: EMPOWERING AND ENGAGING PATIENTS IN THE DIGITAL ERA</t>
  </si>
  <si>
    <t>Studies in Health Technology and Informatics</t>
  </si>
  <si>
    <t>European Federation for Medical Informatics Special Topic Conference (EFMI STC)</t>
  </si>
  <si>
    <t>OCT, 2017</t>
  </si>
  <si>
    <t>Tel Aviv, ISRAEL</t>
  </si>
  <si>
    <t>European Federat Med Informat,Israelian Assoc Med Informat</t>
  </si>
  <si>
    <t>Traditionally, patient empowerment has been used as a strategy for health promotion. The rise of online communities of patients represents a good example of how patient empowerment occurs, independently of the intervention of existing healthcare providers and insurers, allowing thus a more accurate definition of meaning of this concept. We describe two situations related with the development of health-related social networks: (1) The emergence of a new biomedical research model in which patients lead research, shifting the equilibrium of power from the professionals to research subjects themselves, and (2) The emergence of Lay Crowd-Sourced Expertise in these communities, arising from the daily exchange among patients affected by chronic conditions and their relatives, giving place to a new era of bottom-up data generation, previously unknown in biomedical sciences. We enrich these descriptions by analyzing interviews to key actors of these on line communities: Michael Chekroun, founder of Carenity, France, and Paul Wicks Vice President at PatientsLikeMe, USA.</t>
  </si>
  <si>
    <t>SIMON, Marie-Pierre/B-8017-2012; Lamas, Eugenia/L-9654-2018</t>
  </si>
  <si>
    <t>Ferrer-Lues, Marcela/0000-0001-8211-1457; Bousquet, Cedric/0000-0001-9775-2476</t>
  </si>
  <si>
    <t>0926-9630</t>
  </si>
  <si>
    <t>1879-8365</t>
  </si>
  <si>
    <t>978-1-61499-824-2; 978-1-61499-823-5</t>
  </si>
  <si>
    <t>10.3233/978-1-61499-824-2-43</t>
  </si>
  <si>
    <t>WOS:000450270500009</t>
  </si>
  <si>
    <t>Bernhard, GH; Janson, GT; Simpson, S; Cordero, RR; Araya, EIS; Jorquera, J; Rayas, JA; Lind, RN</t>
  </si>
  <si>
    <t>Bernhard, Germar H.; Janson, George T.; Simpson, Scott; Cordero, Raul R.; Araya, Edgardo I. Sepulveda; Jorquera, Jose; Rayas, Juan A.; Lind, Randall N.</t>
  </si>
  <si>
    <t>Does total column ozone change during a solar eclipse?</t>
  </si>
  <si>
    <t>Several publications have reported that total column ozone (TCO) may oscillate with an amplitude of up to 10 DU (Dobson units) during a solar eclipse, whereas other researchers have not seen evidence that an eclipse leads to variations in TCO beyond the typical natural variability. Here, we try to resolve these contradictions by measuring short-term variations (of seconds to minutes) in TCO using global (Sun and sky) and direct-Sun observations in the ultraviolet (UV) range with filter radiometers (GUVis-3511 and Microtops II (R)). Measurements were performed during three solar eclipses: the Great American Eclipse of 2024, which was observed in Mazatl &amp; aacute;n, Mexico, on 8 April 2024; a partial solar eclipse that took place in the United States on 14 October 2023 and was observed at Fort Collins, Colorado (40.57 degrees N, 105.10 degrees W); and a total solar eclipse that occurred in Antarctica on 4 December 2021 and was observed at Union Glacier (79.76 degrees S, 82.84 degrees W). The upper limits of the amplitude of oscillations in TCO observed at Mazatl &amp; aacute;n, Fort Collins, and Antarctica were 0.4 %, 0.3 %, and 0.03 %, respectively. The variability at all sites was within that observed during times not affected by an eclipse. The slightly larger variability at Mazatl &amp; aacute;n is due to cirrus clouds occurring throughout the day of the eclipse and the difficulty of separating changes in the ozone layer from cloud effects. These results support the conclusion that a solar eclipse does not lead to variations in TCO of more than +/- 1.2 DU and that these variations are likely much lower, drawing into question reports of much larger oscillations. In addition to calculating TCO, we also present changes in the spectral irradiance and aerosol optical depth during eclipses and compare radiation levels observed during totality. The new results augment our understanding of the effect of a solar eclipse on the Earth's upper atmosphere.</t>
  </si>
  <si>
    <t>Rayas, Juan/CAG-8266-2022; Bernhard, Germar/AAZ-7169-2020; Cordero, Raul/M-7979-2017</t>
  </si>
  <si>
    <t>JAN 22</t>
  </si>
  <si>
    <t>10.5194/acp-25-819-2025</t>
  </si>
  <si>
    <t>WOS:001409729100001</t>
  </si>
  <si>
    <t>Tuninetti, V; Oñate, A; Valenzuela, M; Sepúlveda, H; Pincheira, G; Medina, C; García-Herrera, C; Duchêne, L; Habraken, AM</t>
  </si>
  <si>
    <t>Tuninetti, V.; Onate, A.; Valenzuela, M.; Sepulveda, H.; Pincheira, G.; Medina, C.; Garcia-Herrera, C.; Duchene, L.; Habraken, A. M.</t>
  </si>
  <si>
    <t>Characterization approaches affect asymmetric load predictions of hexagonal close-packed alloy</t>
  </si>
  <si>
    <t>JOURNAL OF MATERIALS RESEARCH AND TECHNOLOGY-JMR&amp;T</t>
  </si>
  <si>
    <t>The anisotropic plasticity constants of the CPB06 criterion for Ti64, previously identified with experiments performed in all three dimensions, are applied here to evaluate the effect of the direct and inverse calibration strategies of the tensile-compression asymmetry parameter k on the predictive behavior of large deformations of the hexagonal close-packed (hcp) alloy. The direct calibration strategy is based on model fitting with experimental strain hardening data up to the onset of plastic instability. The inverse calibration strategy reduces prediction errors of the load-displacement curves of both the cylindrical bar tensile and the elliptical cylinder compression tests. The results provide interesting insights into the identification of the laws modeling large deformations of hcp materials. (c) 2023 Published by Elsevier B.V.</t>
  </si>
  <si>
    <t>Oñate Soto, Angelo/AAZ-8331-2020; García-Herrera, Claudio/ABE-8991-2020; Medina, Carlos/A-9176-2017; Tuninetti, Victor/ABC-7615-2022</t>
  </si>
  <si>
    <t>Onate Soto, Angelo/0000-0002-4542-3731; Valenzuela, Marian/0000-0003-1448-8644; Medina, Carlos/0000-0001-7448-4798; Tuninetti, Victor/0000-0002-2808-0415; Sepulveda, Hector/0000-0002-6787-9465</t>
  </si>
  <si>
    <t>2238-7854</t>
  </si>
  <si>
    <t>2214-0697</t>
  </si>
  <si>
    <t>10.1016/j.jmrt.2023.08.255</t>
  </si>
  <si>
    <t>WOS:001074003700001</t>
  </si>
  <si>
    <t>Calderon, R; Jara, C; Albornoz, F; Palma, P; Arancibia-Miranda, N; Karthikraj, R; Manquian-Cerda, K; Mejias, P</t>
  </si>
  <si>
    <t>Calderon, R.; Jara, C.; Albornoz, F.; Palma, P.; Arancibia-Miranda, N.; Karthikraj, R.; Manquian-Cerda, K.; Mejias, P.</t>
  </si>
  <si>
    <t>Exploring the destiny and distribution of thiocyanate in the water-soil-plant system and the potential impacts on human health</t>
  </si>
  <si>
    <t>postnatal exposure to thiocyanate can interfere with normal neurological development in both fetuses and newborns. Currently, little information regarding thiocyanate levels and potential sources of exposure is available. In this study, we evaluated thiocyanate uptake and accumulation in chard and spinach grown under greenhouse conditions. Both chard and spinach are commonly used to produce baby foods. Three thiocyanate concentrations were compared: Control, T1 (30 ng mL-1), and T2 (70 ng mL-1). Thiocyanate accumulation depended on the concentration and exposure time. Chard was found to accumulate more thiocyanate than spinach, with leaf accumulation &gt; stem accumulation (p &lt; 0.0194) and maximum concentrations of 76 ng g-1 (control), 112 ng g-1, (T1), and 134 ng g-1 (T2). The estimated daily intake (EDI) of thiocyanate for chard and spinach (fresh) exceeded the subchronic reference dose of 200 ng-1 kg-1 day-1 and the chronic reference dose of 600 ng-1 kg-1 day-1. In addition, the EDI of thiocyanate for spinach in baby food exceeded twice the chronic reference dose in the vulnerable newborn-1 year age group.</t>
  </si>
  <si>
    <t>Calderon, Raul/AAP-5930-2020; Arancibia-Miranda, Nicolás/I-6743-2013</t>
  </si>
  <si>
    <t>Palma, Paulina/0000-0001-9156-6269; Calderon Araya, Raul Alexis/0000-0002-1094-9661</t>
  </si>
  <si>
    <t>AUG 20</t>
  </si>
  <si>
    <t>10.1016/j.scitotenv.2022.155502</t>
  </si>
  <si>
    <t>MAY 2022</t>
  </si>
  <si>
    <t>WOS:000806762000013</t>
  </si>
  <si>
    <t>Cerda-Cavieres, C; Quiroz, G; Iturriaga-Vásquez, P; Rodríguez-Lavado, J; Alarcón-Espósito, J; Saitz, C; Pessoa-Mahana, CD; Chung, H; Araya-Maturana, R; Mella-Raipán, J; Cabezas, D; Ojeda-Gómez, C; Reyes-Parada, M; Pessoa-Mahana, H</t>
  </si>
  <si>
    <t>Cerda-Cavieres, Christopher; Quiroz, Gabriel; Iturriaga-Vasquez, Patricio; Rodriguez-Lavado, Julio; Alarcon-Esposito, Jazmin; Saitz, Claudio; Pessoa-Mahana, Carlos D.; Chung, Hery; Araya-Maturana, Ramiro; Mella-Raipan, Jaime; Cabezas, David; Ojeda-Gomez, Claudia; Reyes-Parada, Miguel; Pessoa-Mahana, Hernan</t>
  </si>
  <si>
    <t>Synthesis, Docking, 3-D-Qsar, and Biological Assays of Novel Indole Derivatives Targeting Serotonin Transporter, Dopamine D2 Receptor, and Mao-A Enzyme: In the Pursuit for Potential Multitarget Directed Ligands</t>
  </si>
  <si>
    <t>A series of 27 compounds of general structure 2,3-dihydro-benzo[1,4]oxazin-4-yl)-2-{4-[3-(1H-3indolyl)-propyl]-1-piperazinyl}-ethanamides, Series I: 7(a-o) and (2-{4-[3-(1H-3-indolyl)-propyl]-1-piperazinyl}-acetylamine)-N-(2-morfolin-4-yl-ethyl)-fluorinated benzamides Series II: 13(a-l) were synthesized and evaluated as novel multitarget ligands towards dopamine D-2 receptor, serotonin transporter (SERT), and monoamine oxidase-A (MAO-A) directed to the management of major depressive disorder (MDD). All the assayed compounds showed affinity for SERT in the nanomolar range, with five of them displaying Ki values from 5 to 10 nM. Compounds 7k, Ki = 5.63 +/- 0.82 nM, and 13c, Ki = 6.85 +/- 0.19 nM, showed the highest potencies. The affinities for D-2 ranged from micro to nanomolar, while MAO-A inhibition was more discrete. Nevertheless, compounds 7m and 7n showed affinities for the D-2 receptor in the nanomolar range (7n: Ki = 307 +/- 6 nM and 7m: Ki = 593 +/- 62 nM). Compound 7n was the only derivative displaying comparable affinities for SERT and D-2 receptor (D-2/SERT ratio = 3.6) and could be considered as a multitarget lead for further optimization. In addition, docking studies aimed to rationalize the molecular interactions and binding modes of the designed compounds in the most relevant protein targets were carried out. Furthermore, in order to obtain information on the structure-activity relationship of the synthesized series, a 3-D-QSAR CoMFA and CoMSIA study was conducted and validated internally and externally (q(2) = 0.625, 0.523 for CoMFA and CoMSIA and r(ncv)(2) = 0.967, 0.959 for CoMFA and CoMSIA, respectively).</t>
  </si>
  <si>
    <t>Cabezas González, David Josué/JXY-0239-2024; Rodriguez-Lavado, Julio/AAJ-8422-2021; Araya-Maturana, Ramiro/N-8747-2015</t>
  </si>
  <si>
    <t>Alarcon, Jazmin/0000-0001-7991-0303; Iturriaga-Vasquez, Patricio/0000-0003-0553-1014; mella, jaime/0000-0002-2434-8461; Quiroz Nahuelpan, Gabriel Francisco Esteban/0000-0002-1883-886X; Chung, Hery/0000-0001-8992-0337; Araya-Maturana, Ramiro/0000-0002-5082-9146; Cabezas Gonzalez, David/0000-0002-4040-1306; Pessoa-Mahana, David/0000-0002-9571-0173</t>
  </si>
  <si>
    <t>10.3390/molecules25204614</t>
  </si>
  <si>
    <t>WOS:000585546700001</t>
  </si>
  <si>
    <t>Venegas, CJ; Gutierrez, FA; Eguílaz, M; Marco, JF; Reeves-McLaren, N; Rivas, GA; Ruiz-León, D; Bollo, S</t>
  </si>
  <si>
    <t>Venegas, Constanza J.; Gutierrez, Fabiana A.; Eguilaz, Marcos; Marco, Jose F.; Reeves-McLaren, Nik; Rivas, Gustavo A.; Ruiz-Leon, Domingo; Bollo, Soledad</t>
  </si>
  <si>
    <t>Co2TiO4/Reduced Graphene Oxide Nanohybrids for Electrochemical Sensing Applications</t>
  </si>
  <si>
    <t>NANOMATERIALS</t>
  </si>
  <si>
    <t>For the first time, the synthesis, characterization, and analytical application for hydrogen peroxide quantification of the hybrid materials of Co2TiO4 (CTO) and reduced graphene oxide (RGO) is reported, using in situ (CTO/RGO) and ex situ (CTO+RGO) preparations. This synthesis for obtaining nanostructured CTO is based on a one-step hydrothermal synthesis, with new precursors and low temperatures. The morphology, structure, and composition of the synthesized materials were examined using scanning electron microscopy, X-ray diffraction (XRD), neutron powder diffraction (NPD), and X-ray photoelectron spectroscopy (XPS). Rietveld refinements using neutron diffraction data were conducted to determine the cation distributions in CTO. Hybrid materials were also characterized by Brunauer-Emmett-Teller adsorption isotherms, Scanning Electron microscopy, and scanning electrochemical microscopy. From an analytical point of view, we evaluated the electrochemical reduction of hydrogen peroxide on glassy carbon electrodes modified with hybrid materials. The analytical detection of hydrogen peroxide using CTO/RGO showed 11 and 5 times greater sensitivity in the detection of hydrogen peroxide compared with that of pristine CTO and RGO, respectively, and a two-fold increase compared with that of the RGO+CTO modified electrode. These results demonstrate that there is a synergistic effect between CTO and RGO that is more significant when the hybrid is synthetized through in situ methodology.</t>
  </si>
  <si>
    <t>Bollo, Soledad/B-5257-2011; Venegas Alburquenque, Constanza/ISV-5989-2023; Rivas, Gustavo/AAB-2141-2020; León, Domingo/AAE-7630-2019; Reeves-McLaren, Nik/H-7027-2014; Marco, JF/N-3176-2014</t>
  </si>
  <si>
    <t>Reeves-McLaren, Nik/0000-0002-1061-1230; Bollo, Soledad/0000-0003-0868-4294; Ruiz Leon, Domingo/0000-0002-0950-6919; Venegas Alburquenque, Constanza J./0000-0002-4303-7319; Marco, JF/0000-0002-5147-1449</t>
  </si>
  <si>
    <t>2079-4991</t>
  </si>
  <si>
    <t>10.3390/nano9111611</t>
  </si>
  <si>
    <t>WOS:000502271700106</t>
  </si>
  <si>
    <t>Salem, MS; Tejo, F; Zierold, R; Sergelius, P; Moreno, JMM; Goerlitz, D; Nielsch, K; Escrig, J</t>
  </si>
  <si>
    <t>Salem, Mohamed Shaker; Tejo, Felipe; Zierold, Robert; Sergelius, Philip; Moreno, Josep M. Montero; Goerlitz, Detlef; Nielsch, Kornelius; Escrig, Juan</t>
  </si>
  <si>
    <t>Composition and diameter modulation of magnetic nanowire arrays fabricated by a novel approach</t>
  </si>
  <si>
    <t>NANOTECHNOLOGY</t>
  </si>
  <si>
    <t>Straight magnetic nanowires composed of nickel and permalloy segments having different diameters are synthesized using a promising approach. This approach involves the controlled electrodeposition of each magnetic material into specially designed diameter-modulated porous alumina templates. Standard alumina templates are exposed to pore widening followed by a protective coating of the pore wall with ultrathin silica and further anodization. Micromagnetic simulations are employed to investigate the process of magnetization reversal in the fabricated nanowires when the magnetic materials exchange their places in the thick and thin segments. It is found that the magnetization reversal occurs by the propagation of transverse domain wall (DW) when the thick segment is composed of permalloy. However, the reversal process proceeds by the propagation of vortex DW when permalloy is located at the thin segment.</t>
  </si>
  <si>
    <t>Moreno, Josep/E-4920-2010; Tejo, Felipe/IUQ-0578-2023; Görlitz, Detlef/D-8530-2012; Nielsch, Kornelius/S-3196-2016; Escrig, Juan/N-4304-2015; Zierold, Robert/M-5361-2018</t>
  </si>
  <si>
    <t>Escrig, Juan/0000-0002-3958-8185; Zierold, Robert/0000-0003-0292-0970; Salem, Mohamed Shaker/0000-0002-4189-857X; Gorlitz, Detlef/0000-0002-3496-5519; Tejo Lazo, Felipe Tejo/0000-0001-7457-7281; Nielsch, Kornelius/0000-0003-2271-7726</t>
  </si>
  <si>
    <t>0957-4484</t>
  </si>
  <si>
    <t>1361-6528</t>
  </si>
  <si>
    <t>FEB 9</t>
  </si>
  <si>
    <t>10.1088/1361-6528/aaa095</t>
  </si>
  <si>
    <t>WOS:000419631700002</t>
  </si>
  <si>
    <t>Carneiro, APB; Jiménez, JE; Vergara, PM; White, TH</t>
  </si>
  <si>
    <t>Carneiro, Ana Paula B.; Jimenez, Jaime E.; Vergara, Pablo M.; White, Thomas H., Jr.</t>
  </si>
  <si>
    <t>Nest-site selection by Slender-billed Parakeets in a Chilean agricultural-forest mosaic</t>
  </si>
  <si>
    <t>JOURNAL OF FIELD ORNITHOLOGY</t>
  </si>
  <si>
    <t>Species in the family Psittacidae may be particularly vulnerable to anthropogenic habitat transformations that reduce availability of suitable breeding sites at different spatial scales. In southern Chile, loss of native forest cover due to agricultural conversion may impact populations of Slender-billed Parakeets (Enicognathus leptorhynchus), endemic secondary cavity-nesting psittacids. Our objective was to assess nest-site selection by Slender-billed Parakeets in an agricultural-forest mosaic of southern Chile at two spatial scales: nest trees and the habitat surrounding those trees. During the 20082009 breeding seasons, we identified nest sites (N= 31) by observing parakeet behavior and using information provided by local residents. Most (29/31) nests were in mature Nothofagus obliqua trees. By comparing trees used for nesting with randomly selected, unused trees, we found that the probability of a tree being selected as a nest site was positively related to the number of cavity entrances, less dead crown, and more basal injuries (e.g., fire scars). At the nesting-habitat scale, nest site selection was positively associated with the extent of basal injuries and number of cavity entrances in trees within 50 m of nest trees. These variables are likely important because they allow nesting parakeets to minimize cavity search times in potential nesting areas, thereby reducing energetic demands and potential exposure to predators. Slender-billed Parakeets may thus use a hierarchical process to select nest sites; after a habitat patch is chosen, parakeets may then inspect individual trees in search of a suitable nest site. Effective strategies to ensure persistence of Slender-billed Parakeets in agricultural-forest mosaics should include preservation of both individual and groups of scattered mature trees. RESUMEN Especies de la familia Psittacidae pueden ser particularmente vulnerables a transformaciones antropogenicas del habitat, lo cual reduce la disponibilidad de lugares adecuados para reproducirse a diferentes escalas espaciales. En el sur de Chile, la perdida de cobertura boscosa debido a la conversion agricola puede afectar las poblaciones de Enicognathus leptorhynchus, un psittacido endemico que anida en cavidades existentes (anidador secundario en cavidades). Nuestro objetivo fue evaluar la seleccion de lugares de anidacion por Enicognathus leptorhynchus en un mosaico de agricultura y bosque en el sur de Chile en dos escalas espaciales: arboles para anidar y el habitat que rodea ha estos arboles. Durante la temporada reproductiva del 20082009, identificamos lugares de anidacion (N= 31) mediante la observacion del comportamiento del perico e informacion proporcionada por los residentes locales. La mayoria de los nidos (29/31) se localizaron en arboles maduros de Nothofagus obliqua. Mediante la comparacion de arboles usados para anidar con arboles seleccionados de manera aleatoria, encontramos que la probabilidad de que un arbol sea seleccionado como un lugar de anidacion se relaciono positivamente con el numero de entradas a la cavidad, menor numero de copas muertas, y mas heridas basales (e.g., cicatrices por fuegos). A la escala de anidacion de habita, la seleccion de lugares de anidacion se asocio positivamente con el grado de heridas basales y numero de entradas a la cavidad en arboles localizados a menos de 50 m del arbol donde estaba el nido. Estas variables probablemente son importantes porque permiten que los pericos que estan anidando minimicen el tiempo de busqueda de cavidades en potenciales areas de anidacion, de este modo reduciendo las demandas energeticas y la exposicion potencial a depredadores. El perico (E. leptorhynchus) puede asi usar un procesos jerarquico de seleccion de lugares de anidacion; despues que un parche de habitat es elegido, los pericos pueden entonces inspeccionar arboles de manera individual en busqueda de lugares adecuados para anidar. Estrategias efectivas para asegurar la persistencia del perico (E. leptorhynchus) en mosaicos de agricultura y bosque deberian incluir la preservacion tanto de individuos como de grupos de arboles maduros dispersos.</t>
  </si>
  <si>
    <t>Carneiro, Ana Paula/IQT-6077-2023; Vergara, Pablo/F-2519-2010; Jimenez, Jaime/AAO-7531-2020</t>
  </si>
  <si>
    <t>Vergara, Pablo/0000-0002-0024-1678; , Ana/0000-0003-0573-7549</t>
  </si>
  <si>
    <t>0273-8570</t>
  </si>
  <si>
    <t>1557-9263</t>
  </si>
  <si>
    <t>10.1111/jofo.12001</t>
  </si>
  <si>
    <t>WOS:000315329000002</t>
  </si>
  <si>
    <t>Das, A; Gamboa, J; Méndez, F; López-Sarrión, J</t>
  </si>
  <si>
    <t>Chiral bosonization for non-commutative fields -: art. no. 022</t>
  </si>
  <si>
    <t>JOURNAL OF HIGH ENERGY PHYSICS</t>
  </si>
  <si>
    <t>A model of chiral bosons on a non-commutative field space is constructed and new generalized bosonization (fermionization) rules for these fields are given. The conformal structure of the theory is characterized by a level of the Kac-Moody algebra equal to(1+theta(2)) where theta is the non-commutativity parameter and chiral bosons living in a non-commutative fields space are described by a rational conformal field theory with the central charge of the Virasoro algebra equal to 1. The non-commutative chiral bosons are shown to correspond to a free fermion moving with a speed equal to c'=croot1+theta(2) where c is the speed of light. Lorentz invariance remains intact if c is rescaled by c--&gt;c'. The dispersion relation for bosons and fermions, in this case, is given by omega=c'\k\.</t>
  </si>
  <si>
    <t>Gamboa, Jorge/R-8744-2019; Das, Ashok/K-7202-2017</t>
  </si>
  <si>
    <t>Mendez, Fernando/0000-0002-9257-9552; Lopez Sarrion, Justo Javier/0000-0002-2868-194X; Das, Ashok/0000-0002-4958-6706</t>
  </si>
  <si>
    <t>1029-8479</t>
  </si>
  <si>
    <t>WOS:000222828800022</t>
  </si>
  <si>
    <t>Luízar, O; Stepanova, MV; Bosqued, JM; Antonova, EE; Kovrazhkin, RA</t>
  </si>
  <si>
    <t>Experimental study of the formation of inverted-V structures and their stratification using AUREOL-3 observations</t>
  </si>
  <si>
    <t>ANNALES GEOPHYSICAE-ATMOSPHERES HYDROSPHERES AND SPACE SCIENCES</t>
  </si>
  <si>
    <t>Multiple inverted-V structures are commonly observed on the same auroral zone crossing by a low-altitude orbiting satellite. Such structures appear grouped and apparently result from an ionospheric and/or magnetospheric mechanism of stratification. More than two years of AUREOL-3 satellite observations were analyzed to study their properties and their formation in the framework of the ionosphere-magnetosphere coupling model proposed by Tverskoy. This model predicts some natural periodicity in the electrostatic potential profile (and subsequently in the held-aligned current profiles) that could account for oscillations experimentally observed in the auroral zone, such as successive inverted-Vs. Experimental results obtained during quiet or moderately active periods demonstrate that the number of structures observed within a given event is well described by a 'scaling' parameter provided by the hot plasma stratification theory and expressed in terms of the field-aligned current density, the total width of the current band, the plasma sheet ion temperature, and the height-integrated Pedersen conductivity of the ionosphere. The latitudinal width, in the order of 100-200 km at ionospheric altitudes, is relatively independent of the current density, and is determined not only by the existence of a potential difference above the inverted-Vs, but also by basic oscillations of the ionosphere-magnetosphere coupling system predicted by Tverskoy. The large number of cases studied by the AUREOL-3 satellite provides reliable statistical trends which permits the validation of the model and the inference that the multiple structures currently observed can be related directly to oscillations of the magnetospheric potential (or the pressure gradients) on a scale of similar to 1000-2000 km in the near-Earth plasma sheet. These oscillations arise in the Tverskoy model and may naturally result when the initial pressure gradients needed to generate a large-scale field-aligned current have a sufficiently wide equatorial scale, of about 1 R-E Or more.</t>
  </si>
  <si>
    <t>0992-7689</t>
  </si>
  <si>
    <t>10.1007/s005850000290</t>
  </si>
  <si>
    <t>WOS:000165431300004</t>
  </si>
  <si>
    <t>Sarabia-Vallejos, MA; Cerda-Iglesias, FE; Terraza, CA; Cohn-Inostroza, NA; Utrera, A; Estrada, M; Rodríguez-Hernández, J; González-Henríquez, CM</t>
  </si>
  <si>
    <t>Sarabia-Vallejos, Mauricio A.; Cerda-Iglesias, Felipe E.; Terraza, C. A.; Cohn-Inostroza, Nicolas A.; Utrera, Andres; Estrada, Manuel; Rodriguez-Hernandez, Juan; Gonzalez-Henriquez, Carmen M.</t>
  </si>
  <si>
    <t>Biocompatible and bioactive PEG-Based resin development for additive manufacturing of hierarchical porous bone scaffolds</t>
  </si>
  <si>
    <t>MATERIALS &amp; DESIGN</t>
  </si>
  <si>
    <t>Bone diseases can often result in patient bone fragility. Different bone problems include low bone density, osteoporosis, and other bone diseases. Such bone diseases, ailments, and malfunctions often require complex and expensive treatments. In this study, we synthesized a new type of DLP resin for 3D printing purposes based on poly(ethylene glycol diacrylate) (PEGDA) and acrylic acid (AAc). In addition, using a porogen within the photopolymerizable resin allowed us to fabricate hierarchical interconnected porous structures. These structures combine the pores resulting from the CAD design with those obtained by the lixiviation of the porogen. Finally, bioactive particles were added to the mixture to increase the material's biocompatibility, thus proving the strategy's potential to include active compounds for particular purposes. Our results demonstrate that including the photoabsorber, Orange G, considerably increases the printing precision and resolution of the synthesized resin, making it possible to obtain printed parts with intricate and complex geometries with high accuracy and definition. Nano-hydroxyapatite (nHA) inclusion significantly increases the material's biocompatibility and mechanical stiffness (similar to 47 % increase, from 5.47 MPa to 8.02 MPa).</t>
  </si>
  <si>
    <t>Sarabia-Vallejos, Mauricio/AAY-2890-2020; Cohn, Nicolas/MCY-4005-2025; Estrada, Manuel/C-1269-2014</t>
  </si>
  <si>
    <t>Sarabia-Vallejos, Mauricio A./0000-0001-5128-796X; Terraza, Claudio/0000-0002-6326-8771; Estrada, Manuel/0000-0001-7877-8160; Cohn Inostroza, Nicolas/0000-0002-8701-7037; Gonzalez Henriquez, Carmen/0000-0001-9058-5425</t>
  </si>
  <si>
    <t>0264-1275</t>
  </si>
  <si>
    <t>1873-4197</t>
  </si>
  <si>
    <t>10.1016/j.matdes.2023.112315</t>
  </si>
  <si>
    <t>WOS:001108653800001</t>
  </si>
  <si>
    <t>Suazo-Hernández, J; Arancibia-Miranda, N; Mlih, R; Cáceres-Jensen, L; Bolan, N; Mora, MD</t>
  </si>
  <si>
    <t>Suazo-Hernandez, Jonathan; Arancibia-Miranda, Nicolas; Mlih, Rawan; Caceres-Jensen, Lizethly; Bolan, Nanthi; de la Luz Mora, Maria</t>
  </si>
  <si>
    <t>Impact on Some Soil Physical and Chemical Properties Caused by Metal and Metallic Oxide Engineered Nanoparticles: A Review</t>
  </si>
  <si>
    <t>In recent years, the release of metal and metallic oxide engineered nanoparticles (ENPs) into the environment has generated an increase in their accumulation in agricultural soils, which is a serious risk to the ecosystem and soil health. Here, we show the impact of ENPs on the physical and chemical properties of soils. A literature search was performed in the Scopus database using the keywords ENPs, plus soil physical properties or soil chemical properties, and elements availability. In general, we found that the presence of metal and metallic oxide ENPs in soils can increase hydraulic conductivity and soil porosity and reduce the distance between soil particles, as well as causing a variation in pH, cation exchange capacity (CEC), electrical conductivity (EC), redox potential (Eh), and soil organic matter (SOM) content. Furthermore, ENPs or the metal cations released from them in soils can interact with nutrients like phosphorus (P) forming complexes or precipitates, decreasing their bioavailability in the soil solution. The results depend on the soil properties and the doses, exposure duration, concentrations, and type of ENPs. Therefore, we suggest that particular attention should be paid to every kind of metal and metallic oxide ENPs deposited into the soil.</t>
  </si>
  <si>
    <t>Cáceres-Jensen, Lizethly/AAC-8527-2020; Arancibia-Miranda, Nicolás/I-6743-2013; Mora Gil, Maria Luz/AAT-4081-2021; HERNANDEZ, JONATHAN/AAN-9953-2021; Bolan, Nanthi/E-8535-2011</t>
  </si>
  <si>
    <t>Caceres-Jensen, Lizethly/0000-0002-5903-7356; Mora, Maria Luz/0000-0002-7474-1595; SUAZO HERNANDEZ, JONATHAN MARCELO/0000-0003-2417-3494; Bolan, Nanthi/0000-0003-2056-1692</t>
  </si>
  <si>
    <t>10.3390/nano13030572</t>
  </si>
  <si>
    <t>WOS:000932878800001</t>
  </si>
  <si>
    <t>Santodomingo, A; Thomas, R; Robbiano, S; Uribe, JE; Parragué-Migone, C; Cabello-Stom, J; Vera-Otarola, F; Valencia-Soto, C; Moreira-Arce, D; Hidalgo-Hermoso, E; Muñoz-Leal, S</t>
  </si>
  <si>
    <t>Santodomingo, Adriana; Thomas, Richard; Robbiano, Sofia; Uribe, Juan E.; Parrague-Migone, Catalina; Cabello-Stom, Javier; Vera-Otarola, Frank; Valencia-Soto, Carola; Moreira-Arce, Dario; Hidalgo-Hermoso, Ezequiel; Munoz-Leal, Sebastian</t>
  </si>
  <si>
    <t>Wild deer (Pudu puda) from Chile harbor a novel ecotype of Anaplasmaphagocytophilum</t>
  </si>
  <si>
    <t>PARASITES &amp; VECTORS</t>
  </si>
  <si>
    <t>Background Deer species play an important role in the enzootic cycles of several Anaplasma species. While in the Northern Hemisphere ticks of genus Ixodes are well recognized vectors of these intracellular bacteria, less is known regarding the biological cycles of Anaplasma spp. in South America. Methods Using PCR protocols and Sanger sequencing, we assessed the presence of Anaplasma spp. in blood and ticks collected on a native deer species (Pudupuda) from southern Chile. Results Based on phylogenetic analyses of the 16S rRNA, gltA and groEL genes and calculation of average sequence divergence for groEL, our results bring to light a novel genovariant of Anaplasmaphagocytophilum (named strain Patagonia ). The strain represents a novel ecotype within the A. phagocytophilum species complex and was detected in both P.puda and their ticks. Using a larger matrix, denser taxon sampling and outgroup, our maximum-likelihood- and Bayesian-inferred phylogenies for groEL provide an accurate picture of the topology of A. phagocytophilum ecotypes and their evolutionary relationships. Conclusions This is the first report of an ecotype of A. phagocytophilum in South America. Our results provide novel insight into the genetic diversity and ecology of this complex of bacterial lineages. Further studies should elucidate the enzootic cycle of A. phagocytophilum strain Patagonia  and assess its pathogenic potential for pudues, domestic animals and humans in the region.</t>
  </si>
  <si>
    <t>Santodomingo Santodomingo, Adriana/HTQ-7967-2023; Moreira-Arce, Dario/ABG-2898-2021; Uribe, Juan/AFN-0347-2022; Munoz, Sebastian/KTI-1588-2024; Thomas, Richard/JGG-7062-2023; Hidalgo-Hermoso, Ezequiel/ABB-6056-2020; Munoz-Leal, Sebastian/C-5406-2018</t>
  </si>
  <si>
    <t>Thomas, Richard/0000-0002-5506-4461; Santodomingo Santodomingo, Adriana/0000-0002-3133-8616; Munoz-Leal, Sebastian/0000-0003-3547-6466</t>
  </si>
  <si>
    <t>1756-3305</t>
  </si>
  <si>
    <t>JAN 27</t>
  </si>
  <si>
    <t>10.1186/s13071-023-05657-9</t>
  </si>
  <si>
    <t>WOS:000923137900002</t>
  </si>
  <si>
    <t>Garcia, AM; Ibanez, A</t>
  </si>
  <si>
    <t>Garcia, Adolfo M.; Ibanez, Agustin</t>
  </si>
  <si>
    <t>On the replicability of action-verb deficits in Parkinson's disease</t>
  </si>
  <si>
    <t>CORTEX</t>
  </si>
  <si>
    <t>García, Adolfo/E-7150-2017; Ibanez, Agustin/H-7976-2015</t>
  </si>
  <si>
    <t>Ibanez, Agustin/0000-0001-6758-5101</t>
  </si>
  <si>
    <t>0010-9452</t>
  </si>
  <si>
    <t>1973-8102</t>
  </si>
  <si>
    <t>10.1016/j.cortex.2022.10.008</t>
  </si>
  <si>
    <t>NOV 2022</t>
  </si>
  <si>
    <t>WOS:000903749600001</t>
  </si>
  <si>
    <t>García-Hermoso, A; Ramirez-Vélez, R; de Asteasu, MSL; Martínez-Velilla, N; Zambom-Ferraresi, F; Valenzuela, PL; Lucia, A; Izquierdo, M</t>
  </si>
  <si>
    <t>Garcia-Hermoso, Antonio; Ramirez-Velez, Robinson; Saez de Asteasu, Mikel L.; Martinez-Velilla, Nicolas; Zambom-Ferraresi, Fabricio; Valenzuela, Pedro L.; Lucia, Alejandro; Izquierdo, Mikel</t>
  </si>
  <si>
    <t>Safety and Effectiveness of Long-Term Exercise Interventions in Older Adults: A Systematic Review and Meta-analysis of Randomized Controlled Trials</t>
  </si>
  <si>
    <t>SPORTS MEDICINE</t>
  </si>
  <si>
    <t>Background Physical exercise is beneficial to reduce the risk of several conditions associated with advanced age, but to our knowledge, no previous study has examined the association of long-term exercise interventions (&gt;= 1 year) with the occurrence of dropouts due to health issues and mortality, or the effectiveness of physical exercise versus usual primary care interventions on health-related outcomes in older adults (&gt;= 65 years old). Objective To analyze the safety and effectiveness of long-term exercise interventions in older adults. Methods We conducted a systematic review with meta-analysis examining the association of long-term exercise interventions (&gt;= 1 year) with dropouts from the corresponding study due to health issues and mortality (primary endpoint), and the effects of these interventions on health-related outcomes (falls and fall-associated injuries, fractures, physical function, quality of life, and cognition) (secondary endpoints). Results Ninety-three RCTs and six secondary studies met the inclusion criteria and were included in the analyses (n = 28,523 participants, mean age 74.2 years). No differences were found between the exercise and control groups for the risk of dropouts due to health issues (RR = 1.05, 95% CI 0.95-1.17) or mortality (RR = 0.93, 95% CI 0.83-1.04), although a lower mortality risk was observed in the former group when separately analyzing clinical populations (RR = 0.67, 95% CI 0.48-0.95). Exercise significantly reduced the number of falls and fall-associated injuries, and improved physical function and cognition. These results seemed independent of participants' baseline characteristics (age, physical function, and cognitive status) and exercise frequency. Conclusions Long-term exercise training does not overall influence the risk of dropouts due to health issues or mortality in older adults, and results in a reduced mortality risk in clinical populations. Moreover, exercise reduces the number of falls and fall-associated injuries, and improves physical function and cognition in this population.</t>
  </si>
  <si>
    <t>Zambom-Ferraresi, Fabrício/M-1906-2018; García-Hermoso, Antonio/ADU-2591-2022; Asteasu, Mikel/A-8973-2017; Valenzuela, Pedro/O-7601-2019; Martinez-Velilla, Nicolas/A-6942-2017; Ramirez-Velez, Robinson/D-5311-2016; Garcia-Hermoso, Antonio/P-1857-2017; Izquierdo, Mikel/A-4894-2010</t>
  </si>
  <si>
    <t>Martinez-Velilla, Nicolas/0000-0001-9576-9960; Saez de Asteasu, Mikel Lopez/0000-0002-4111-5045; Ramirez-Velez, Robinson/0000-0003-3075-6960; Valenzuela Tallon, Pedro Luis/0000-0003-1730-3369; Garcia-Hermoso, Antonio/0000-0002-1397-7182; Izquierdo, Mikel/0000-0002-1506-4272</t>
  </si>
  <si>
    <t>0112-1642</t>
  </si>
  <si>
    <t>1179-2035</t>
  </si>
  <si>
    <t>10.1007/s40279-020-01259-y</t>
  </si>
  <si>
    <t>FEB 2020</t>
  </si>
  <si>
    <t>WOS:000511041300001</t>
  </si>
  <si>
    <t>Kogan, B; Muñoz, E; Ibáñez, A; García, AM</t>
  </si>
  <si>
    <t>Kogan, Boris; Munoz, Edinson; Ibanez, Agustin; Garcia, Adolfo M.</t>
  </si>
  <si>
    <t>Too late to be grounded? Motor resonance for action words acquired after middle childhood</t>
  </si>
  <si>
    <t>BRAIN AND COGNITION</t>
  </si>
  <si>
    <t>Though well established for languages acquired in infancy, the role of embodied mechanisms remains poorly understood for languages learned in middle childhood and adulthood. To bridge this gap, we examined 34 experiments that assessed sensorimotor resonance during processing of action-related words in real and artificial languages acquired since age 7 and into adulthood. Evidence from late bilinguals indicates that foreign-language action words modulate neural activity in motor circuits and predictably facilitate or delay physical movements (even in an effector-specific fashion), with outcomes that prove partly sensitive to language proficiency. Also, data from newly learned vocabularies suggest that embodied effects emerge after brief periods of adult language exposure, remain stable through time, and hinge on the performance of bodily movements (and, seemingly, on action observation, too). In sum, our work shows that infant language exposure is not indispensable for the recruitment of embodied mechanisms during language processing, a finding that carries non-trivial theoretical, pedagogical, and clinical implications for neurolinguistics, in general, and bilingualism research, in particular.</t>
  </si>
  <si>
    <t>Kogan, Boris/HPD-5180-2023; García, Adolfo/E-7150-2017; Ibanez, Agustin/H-7976-2015</t>
  </si>
  <si>
    <t>Kogan, Boris/0000-0002-5844-6203; Ibanez, Agustin/0000-0001-6758-5101</t>
  </si>
  <si>
    <t>0278-2626</t>
  </si>
  <si>
    <t>1090-2147</t>
  </si>
  <si>
    <t>10.1016/j.bandc.2019.105509</t>
  </si>
  <si>
    <t>WOS:000509818100010</t>
  </si>
  <si>
    <t>Leal, MS; Briones, X; Villalobos, V; Queneau, Y; Leiva, A; Ríos, HE; Pavez, J; Silva, CP; Carrasco, C; Neira-Carrillo, A; Roth, AD; Tamayo, L; Urzúa, MD</t>
  </si>
  <si>
    <t>Leal, M. S.; Briones, X.; Villalobos, V.; Queneau, Y.; Leiva, A.; Rios, H. E.; Pavez, J.; Silva, C. P.; Carrasco, C.; Neira-Carrillo, Andronico; Roth, A. D.; Tamayo, L.; Urzua, M. D.</t>
  </si>
  <si>
    <t>Amino Acid-Functionalized Polyelectrolyte Films as Bioactive Surfaces for Cell Adhesion</t>
  </si>
  <si>
    <t>Surfaces were prepared with polyelectrolyte derivatives of poly(styrene-alt-maleic anhydride) (PSMA) functionalized with amino acids of different hydropathy indices, with the aim of evaluating the effect of the chemical functionality of polyelectrolytes on SH-SY5Y neuroblastoma cell adhesion. Functionalizing PSMA derivatives with L-glutamine, L-methionine, and L-tyrosine yielded PSMA-Gln, PSMA-Met, and PSMA-Tyr polyelectrolytes, respectively. We first studied the adsorption behavior of PSMA functionalized with amino acids on silicon wafer surfaces modified with 3-aminopropyltriethoxysilane at pH 4.0 and 7.0 and at low and high ionic strengths. The highest rate of polyelectrolyte adsorption was at pH 4.0 and high ionic strength and was higher with the glutamine and tyrosine films. The advance contact angles (BA) of the polyelectrolyte surfaces showed a moderate effect of ionic strength and pH on polyelectrolyte film wettability, with PSMA-Tyr being slightly more hydrophobic. Atomic force microscopy images of the polyelectrolyte surfaces showed two types of morphology: the well-defined globular nanostructure of PSMA-Met and PSMA-Tyr and densely packed nanofibrous-like structure of PSMA-Gln. The highest level of ionic strength caused a slight decrease in the size of the nanostructure that formed the surface domains, which was reflected in the degree of surface roughness. Cell adhesion assays with the polyelectrolyte film showed that SH-SY5Y neuroblastoma cells cultured on PSMA-Met present a well-extended morphology characterized by a stellate shape, with five or more actin-rich thin processes, whereas SH-SY5Y cells that were seeded on PSMA-Gln and PSMAT-yr have a round morphology, with fewer and shorter processes. These results indicate that it is possible to modulate the surface characteristics of polyelectrolyte films based on their chemical functionality and environmental parameters such as pH and ionic strength in order to evaluate their effect on cell adhesion. Thus, surfaces prepared from polyelectrolytes functionalized with amino acids are an attractive and simple platform for cell adhesion, which can be used in developing biomaterials with modulated surface properties.</t>
  </si>
  <si>
    <t>Urzúa, Marcela/E-1429-2014; BRIONES, XIMENA/G-3554-2016; Villalobos, Valeria/JVN-0056-2024; Silva, Carlos/IQS-5583-2023; Tamayo, Laura/I-8942-2018; Queneau, Yves/HLX-0773-2023; PAVEZ, JORGE/K-6904-2014; Roth, Alejandro/A-5086-2009</t>
  </si>
  <si>
    <t>Leal, Matias S./0000-0002-7145-1920; Tamayo, Laura/0000-0003-1159-5305; Queneau, Yves/0000-0003-4052-061X; Urzua Acevedo, Marcela Del Pilar/0000-0002-2371-620X; Leiva-Campusano, Angel Rodrigo/0000-0003-3744-1945; Silva, Carlos P./0000-0001-5344-042X; PAVEZ, JORGE/0000-0002-5100-6707; Roth, Alejandro/0000-0001-5679-8136; /0000-0002-1894-2384; BRIONES, XIMENA/0000-0003-2343-260X</t>
  </si>
  <si>
    <t>JUN 5</t>
  </si>
  <si>
    <t>10.1021/acsami.9b02503</t>
  </si>
  <si>
    <t>WOS:000470938500009</t>
  </si>
  <si>
    <t>Barraza, F; Calvo, C; Silva, M; Vinet, R; Laurido, C; Barrera, E; Meza, I; Vargas-Rueda, S; Martínez, JL</t>
  </si>
  <si>
    <t>Barraza, Francisco; Calvo, Carlos; Silva, Mauricio; Vinet, Raul; Laurido, Claudio; Barrera, Elizabeth; Meza, Ines; Vargas-Rueda, Silvia; Martinez, Jose L.</t>
  </si>
  <si>
    <t>Traditional ethnobotanical knowledge and use of medicinal plants in a rural area of the metropolitan region of Chile: descriptive study</t>
  </si>
  <si>
    <t>In order to characterize and evaluate the botanical knowledge belonging to the population in rural area (little addressed by the ethnobotany) a study was conducted through surveys to learn about medicinal plants cultivated and used and a rural area of the Metropolitan Region (San Juan de Pirque). The conclusions are that users have a hybrid knowledge (product of traditional knowledge combined with information of various kinds) of medicinal plants. We found that most of the species cultivated in botanical gardens were species introduced and very few native ones. Also, they were known by their common names and new names were detected not described previously in the literature.</t>
  </si>
  <si>
    <t>Martinez, Jose/AAA-1725-2020; Barraza, Francisco/P-6143-2017</t>
  </si>
  <si>
    <t>Martinez, Jose/0000-0002-0177-4847; Barraza, Francisco/0000-0001-8738-1368</t>
  </si>
  <si>
    <t>WOS:000343600200008</t>
  </si>
  <si>
    <t>López-Alarcón, C; Lissi, E; Hoffmann, P; Mella, J; Pessoa-Mahana, CD; Speisky, H; Möller, M; Ferrer-Sueta, G; Denicola, A</t>
  </si>
  <si>
    <t>Lopez-Alarcon, C.; Lissi, E.; Hoffmann, P.; Mella, J.; Pessoa-Mahana, C. D.; Speisky, H.; Moeller, M.; Ferrer-Sueta, G.; Denicola, A.</t>
  </si>
  <si>
    <t>Interaction of 5-aminosalicylic acid with nitrous acid: formation of the diazonium derivative and nitric oxide release</t>
  </si>
  <si>
    <t>CANADIAN JOURNAL OF CHEMISTRY-REVUE CANADIENNE DE CHIMIE</t>
  </si>
  <si>
    <t>The reaction of 5-aminosalicylic acid (5-ASA) with nitrous acid has been studied at low pH under conditions that simulate a gastric environment. The course of the reaction was followed by UV-visible and fluorescence spectroscopy and the products were analyzed by high performance liquid chromatography (HPLC) with UV-visible and mass spectroscopic detectors. In addition, the formation of nitric oxide (NO) was estimated electrochemically. 5-ASA was readily consumed in a process catalyzed by chloride and thiocyanate, whose rate is first order in 5-ASA and second order in nitrous acid. 2-Hydroxy-5-diazonium benzoic acid (diazonium derivative) and NO were detected as products of the reaction. From the NO formation profiles, it is concluded that NO is produced as a minor product in a process parallel to the path that leads to generation of the diazonium derivative. While the formation of NO could be beneficial for the protection of the stomach, the generation of the diazonium derivative could be considered a potentially toxic process.</t>
  </si>
  <si>
    <t>Lopez, Camilo/J-5770-2013; SPEISKY, HERNAN/E-6146-2013; Hoffmann, Pascal/KCK-8026-2024; Ferrer-Sueta, Gerardo/C-3316-2011</t>
  </si>
  <si>
    <t>Ferrer-Sueta, Gerardo/0000-0002-8663-8480; mella, jaime/0000-0002-2434-8461; Lopez, Camilo/0000-0002-0174-8972; Moller, Matias N./0000-0002-3486-8217; Denicola, Ana/0000-0002-5181-9708; Pessoa-Mahana, David/0000-0002-9571-0173</t>
  </si>
  <si>
    <t>0008-4042</t>
  </si>
  <si>
    <t>10.1139/V11-056</t>
  </si>
  <si>
    <t>WOS:000293318800003</t>
  </si>
  <si>
    <t>Ferrero-Hernández, P; Farias-Valenzuela, C; Rezende, LFM; Nascimento, MD; Marques, A; de Victo, ER; Ferrari, G</t>
  </si>
  <si>
    <t>Ferrero-Hernandez, Paloma; Farias-Valenzuela, Claudio; Rezende, Leandro F. M.; Nascimento, Marcelo de Maio; Marques, Adilson; de Victo, Eduardo Rossato; Ferrari, Gerson</t>
  </si>
  <si>
    <t>Combined association of physical activity and depressive symptoms with cardiometabolic risk factors in Chilean adults</t>
  </si>
  <si>
    <t>Cardiometabolic risk factors such as obesity, raised blood pressure, high blood glucose and dyslipidemia are emerging health concerns worldwide. Therefore, the aim of this study was to estimate the combined association between physical activity and depressive symptoms with cardiometabolic risk factors in Chilean adults. Data was obtained from the National Health Survey of Chile 2016-2017, with a sample of 5995 adult participants. Assessment of Physical activity and depressive symptoms were done using the Global Physical Activity Questionnaire (GPAQ) and the CIDI ShortForm (CIDI-SF), respectively. Multivariable logistic regression was performed to estimate the combined association of physical activity and depressive symptoms with cardiometabolic risk factors. Participants in the category &gt;= 150 min/Depressive symptoms had the highest prevalence of overweight (OR: 1.55, 95% CI: 1.17-2.05), obesity (OR: 1.97, 95% CI: 1.49-2.59) and high waist circumference (OR: 1.63, 95% CI: 1.39-1.92). Participants in the &lt; 150 min/No depressive symptoms category had a lower prevalence of overweight/obesity (OR: 0.68, 95% CI: 0.60-0.78) and a 25% reduced high triglycerides prevalence, in comparison with the active category with no depressive symptoms. There is a positive association between depressive symptoms and overweight, obesity and waist circumference among subjects that complete physical activity recommendations but have depressive symptoms.</t>
  </si>
  <si>
    <t>Marques, Adilson/K-4529-2014; Rezende, Leandro/C-1724-2012; Victo, Eduardo/JQI-9333-2023; Ferrari, Gerson/HHM-6173-2022; Ferrari, Gerson/P-1152-2014</t>
  </si>
  <si>
    <t>Ferrari, Gerson/0000-0003-3177-6576</t>
  </si>
  <si>
    <t>DEC 28</t>
  </si>
  <si>
    <t>10.1038/s41598-024-82396-6</t>
  </si>
  <si>
    <t>WOS:001388405400048</t>
  </si>
  <si>
    <t>Damian, A; Amorin, I; Kramer, V; Higgie, J; Lescano, A; Cordero, I; Juri, C; Savio, E; Quagliata, A; Chaná-Cuevas, P; Duarte, P; Alonso, O; Ferrando, R</t>
  </si>
  <si>
    <t>Damian, Andres; Amorin, Ignacio; Kramer, Vasko; Higgie, Juan; Lescano, Andres; Cordero, Ismael; Juri, Carlos; Savio, Eduardo; Quagliata, Adriana; Chana-Cuevas, Pedro; Duarte, Pablo; Alonso, Omar; Ferrando, Rodolfo</t>
  </si>
  <si>
    <t>18F-PR04.MZ PET/CT in patients with atypical parkinsonism and Parkinson′s disease</t>
  </si>
  <si>
    <t>JOURNAL OF NUCLEAR MEDICINE</t>
  </si>
  <si>
    <t>55th Annual Conference of the Society-of-Nuclear-Medicine (SNMICON)</t>
  </si>
  <si>
    <t>NOV 16-19, 2023</t>
  </si>
  <si>
    <t>Jodhpur, INDIA</t>
  </si>
  <si>
    <t>Soc Nuclear Med</t>
  </si>
  <si>
    <t>Chana-Cuevas, Pedro/AAM-8215-2020; Cordero, Irene/H-8171-2019</t>
  </si>
  <si>
    <t>0161-5505</t>
  </si>
  <si>
    <t>1535-5667</t>
  </si>
  <si>
    <t>P928</t>
  </si>
  <si>
    <t>WOS:001109210201335</t>
  </si>
  <si>
    <t>Ramírez-Vélez, R; García-Hermoso, A; Correa-Rodríguez, M; Izquierdo, M</t>
  </si>
  <si>
    <t>Ramirez-Velez, Robinson; Garcia-Hermoso, Antonio; Correa-Rodriguez, Maria; Izquierdo, Mikel</t>
  </si>
  <si>
    <t>Defining values for controlled attenuation parameter and liver stiffness in youth without liver disease</t>
  </si>
  <si>
    <t>PEDIATRIC RESEARCH</t>
  </si>
  <si>
    <t>Background We aimed to determine the reference values to define an age-specific normal range of controlled attenuation parameter (CAP, a measure of liver steatosis) and liver stiffness measurement (LSM) values assessed by ultrasound-based transient elastography in adolescents without underlying liver disease. Methods A total of 462 participants were included in this cross-sectional study using data from NHANES 2017-2018. LSM and CAP were carried out using the FibroScan (R) M-probe. Anthropometric, metabolic and hematological parameters were measured. Results The median CAP was 199.0 dB/m (150.0-245.0 dB/m, 10th to 90th percentiles) and the median LSM was 4.7 kPa (3.4-6.3 kPa, 10th to 90th percentiles) for ages 12-19.9 years. Regression analyses show that the CAP and LSM were not positively correlated with age (boys CAP R-2 = 0.001, p = 0.576 and LSM R-2 = 0.012, p = 0.096; girls CAP R-2 = 0.011, p = 0.113 and LSM R-2 = 0.006, p = 0.236). Finally, CAP was positively associated with LSM in girls (beta = 0.189, p = 0.005) but not in boys (beta = -0.083, p = 0.202). Conclusions The reference values indicated here for LSM and CAP will help in the screening of adolescents between ages 12 and 19.9 years and might serve as a useful method for identifying those youth at high risk of nonalcoholic fatty liver disease. Impact The reference values indicated in this study for liver stiffness measurement (LSM) and controlled attenuation parameter (CAP) will help in the screening of adolescents between ages 12 and 19.9 years in clinical practice. The cutoffs of LSM and CAP might serve as a useful method for identifying those youth at high risk of nonalcoholic fatty liver disease.</t>
  </si>
  <si>
    <t>García-Hermoso, Antonio/ADU-2591-2022; Izquierdo, Mikel/A-4894-2010; Ramirez-Velez, Robinson/D-5311-2016; Correa-Rodriguez, Maria/G-1793-2018; Garcia-Hermoso, Antonio/P-1857-2017</t>
  </si>
  <si>
    <t>Izquierdo, Mikel/0000-0002-1506-4272; Ramirez-Velez, Robinson/0000-0003-3075-6960; Correa-Rodriguez, Maria/0000-0001-9165-4349; Garcia-Hermoso, Antonio/0000-0002-1397-7182</t>
  </si>
  <si>
    <t>0031-3998</t>
  </si>
  <si>
    <t>1530-0447</t>
  </si>
  <si>
    <t>10.1038/s41390-021-01441-6</t>
  </si>
  <si>
    <t>WOS:000639627800004</t>
  </si>
  <si>
    <t>Calderón, R; Palma, P; Parker, D; Escudey, M</t>
  </si>
  <si>
    <t>Calderon, Raul; Palma, Paulina; Parker, David; Escudey, Mauricio</t>
  </si>
  <si>
    <t>Capture and accumulation of perchlorate in lettuce. Effect of genotype, temperature, perchlorate concentration, and competition with anions</t>
  </si>
  <si>
    <t>CHEMOSPHERE</t>
  </si>
  <si>
    <t>Various studies have evaluated the accumulation of ClO4- in lettuce (Lactuca sativa), but very few have dealt with the variables that can interfere with its capture. The present study evaluates the transfer of ClO4- in two L. sativa varieties: butter head (L. sativa var. capitata) and cos lettuce (L. sativa var. crispa) under hydroponic conditions. The ClO4- concentrations used correspond to levels (1 and 2 mg L-1), measured in irrigation water in the Iquique region in the north of Chile. Results indicate that the capture of ClO4- is dependent on its concentration, lettuce genotype, and temperature. The butter head variety accumulates the highest perchlorate concentrations. Anion competition involving NO3- (16 and 48 mM), Cl- (23 and 56 mM), and SO42- (10 and 20 mM) was evaluated, being NO3- (48 mM), the most significant competition reducing the concentration of ClO4- in tissues of L. sativa varieties. (C) 2014 Elsevier Ltd. All rights reserved.</t>
  </si>
  <si>
    <t>som, nie/JFK-6681-2023; Calderon, Raul/AAP-5930-2020</t>
  </si>
  <si>
    <t>Calderon Araya, Raul Alexis/0000-0002-1094-9661</t>
  </si>
  <si>
    <t>0045-6535</t>
  </si>
  <si>
    <t>1879-1298</t>
  </si>
  <si>
    <t>10.1016/j.chemosphere.2014.03.027</t>
  </si>
  <si>
    <t>WOS:000339601600027</t>
  </si>
  <si>
    <t>Sajadian, SA; Esfandiari, N; Rojas, A; Hemmati, S; Jouyban, A; Aguila, G; Garlapati, C</t>
  </si>
  <si>
    <t>Sajadian, Seyed Ali; Esfandiari, Nadia; Rojas, Adrian; Hemmati, Salar; Jouyban, Abolghasem; Aguila, Gonzalo; Garlapati, Chandrasekhar</t>
  </si>
  <si>
    <t>Mesalazine solubility in supercritical carbon dioxide with and without cosolvent and modeling</t>
  </si>
  <si>
    <t>In this study, the solubility of mesalazine in supercritical carbon dioxide with and without cosolvent was carried out for the first time at different temperatures and pressure values ranging from 308 to 338 K and 12 to 30 MPa, respectively. The determined experimental molar solubilities of mesalazine in supercritical carbon dioxide were in the range of 4.41 x 10-5 to 9.97 x 10-5 (308 K), 3.9 x 10-5 to 13.1 x 10-5 (318 K), 3.4 x 10-5 to 16 x 10-5 (328 K) and 3.3 x 10-5 to 18.4 x 10-5 (338 K). Meanwhile, the determined experimental molar solubilities in supercritical carbon dioxide using 2% dimethyl sulfoxide as cosolvent were in the range of 28.22 x 10-5 to 36.2 x 10-5 (308 K), 26.07 x 10-5 to 51.41 x 10-5 (318 K), 25.02 x 10-5 to 69.07 x 10-5 (328 K) and 25.86 x 10-5 to 82.6 x 10-5 (338 K). A novel association model was employed to simulate the solubility data of the binary and ternary systems. Various semiempirical correlations were utilized to calculate the solubility of mesalazine in supercritical carbon dioxide. The new association model was deemed the most superior model, achieving an average absolute relative deviation value of 4.13% without a cosolvent, and 3.36% when a cosolvent was included.</t>
  </si>
  <si>
    <t>Rojas, Adrián/AAR-9441-2021; Jouyban, Abolghasem/M-4766-2017; Sajadian, Seyedali/HJP-8942-2023; Govindasamy, Chandrasekar/K-3860-2016; hemmati, salar/M-6106-2017; Esfandiari, Nadia/AAX-8035-2021</t>
  </si>
  <si>
    <t>Esfandiari, Nadia/0000-0003-3071-7291; chandrasekhar, garlapati/0000-0002-6259-476X</t>
  </si>
  <si>
    <t>JAN 31</t>
  </si>
  <si>
    <t>10.1038/s41598-025-86004-z</t>
  </si>
  <si>
    <t>WOS:001412550000021</t>
  </si>
  <si>
    <t>Játiva, PP; Azurdia-Meza, CA; Zabala-Blanco, D; Soto, I; Ijaz, M; Carrera, DF; Ekpo, S</t>
  </si>
  <si>
    <t>Palacios Jativa, Pablo; Azurdia-Meza, Cesar A.; Zabala-Blanco, David; Soto, Ismael; Ijaz, Muhammad; Fernando Carrera, Diego; Ekpo, Sunday</t>
  </si>
  <si>
    <t>On the Performance of Angular Diversity Receivers in Underground Mining VLC Systems</t>
  </si>
  <si>
    <t>2022 13TH INTERNATIONAL SYMPOSIUM ON COMMUNICATION SYSTEMS, NETWORKS AND DIGITAL SIGNAL PROCESSING, CSNDSP</t>
  </si>
  <si>
    <t>13th International Symposium on Communication Systems, Networks and Digital Signal Processing (CSNDSP)</t>
  </si>
  <si>
    <t>JUL 20-22, 2022</t>
  </si>
  <si>
    <t>Porto, PORTUGAL</t>
  </si>
  <si>
    <t>Visible Light Communications (VLC) have generated great interest in the scientific community in the last five years due to their great adaptation to harsh environments. Among the scenarios that can benefit from the advantages of VLC systems are Underground Mining (UM) tunnels. However, the physical phenomena and the irregularity of this environment present a challenge for the implementation of the systems called UM-VLC. Therefore, it is important to research and develop practical solutions that improve the performance of these systems in the UM scenario and verify their efficiency. Under this context, in this article we propose the implementation of pyramidal and hemi-dodecahedral Angle Diversity Receivers (ADRs) in the reception stage of a UM-VLC system. These solutions, along with the Maximum Ratio Combining (MRC) signal selection scheme, are evaluated and compared in terms of User Data Rate (UDR) and Cumulative Distribution Function (CDF) with respect to the Signal-to-Interference-plus-Noise Ratio (SINR). The numerical results obtained through computational simulations show that the hemi-dodecahedral ADR outperforms the the pyramidal ADR in terms of the evaluated metrics.</t>
  </si>
  <si>
    <t>Palacios Játiva, Pablo/AAE-8235-2019; EKPO, SUNDAY/AAB-5880-2020; Meza, Cesar/D-6948-2014; Carrera, Diego/AAH-8282-2021</t>
  </si>
  <si>
    <t>Palacios, Pablo/0000-0002-3958-503X; Ekpo, Sunday Cookey/0000-0001-9219-3759</t>
  </si>
  <si>
    <t>978-1-6654-1044-1</t>
  </si>
  <si>
    <t>10.1109/CSNDSP54353.2022.9907912</t>
  </si>
  <si>
    <t>WOS:001331792600151</t>
  </si>
  <si>
    <t>Marconcin, P; Matos, MG; Ihle, A; Ferrari, G; Gouveia, ÉR; López-Flores, M; Peralta, M; Marques, A</t>
  </si>
  <si>
    <t>Marconcin, Priscila; Matos, Margarida G.; Ihle, Andreas; Ferrari, Gerson; Gouveia, Elvio R.; Lopez-Flores, Marcos; Peralta, Miguel; Marques, Adilson</t>
  </si>
  <si>
    <t>Trends of Healthy Lifestyles Among Adolescents: An Analysis of More Than Half a Million Participants From 32 Countries Between 2006 and 2014</t>
  </si>
  <si>
    <t>FRONTIERS IN PEDIATRICS</t>
  </si>
  <si>
    <t>The purpose of this study was to provide data regarding the prevalence and trends of adolescents' healthy lifestyles from 32 countries between 2006 and 2014 by sex and age interval. The data used in the present study were derived from the Health Behavior in School-aged Children (HBSC) 2006, 2010, and 2014 international database. Healthy lifestyle was assessed using the combination of daily physical activity, daily fruit and vegetable consumption, &lt;2 h daily on screen-based behaviors, abstinence from alcohol, and abstinence from tobacco products. Healthy lifestyle measures were based on self-report. The final sample comprised 519,371 adolescents (aged between 10 and 16 years old). The prevalence of healthy lifestyle behaviors increased between 2006 and 2014. The healthy lifestyle score worsened with advancing age for boys and girls. Comparing countries, for boys, the highest values were observed in adolescents from Ireland (5.2%, 95% CI: 3.9, 6.4), and for girls, the highest values were observed in adolescents from Iceland (4.2%, 95% CI: 3.6, 4.7). The present study showed a slight trend to an improved healthy lifestyle among adolescents, although much more has to be done. A joint effort from multiple areas of knowledge must be made to improve adolescent health policies, since lifestyles in adolescence play an important role for the development of vulnerability and health in later life.</t>
  </si>
  <si>
    <t>Ferrari, Gerson/ABG-6635-2021; Gouveia, Elvio/F-9156-2015; de Matos, Margarida/H-3824-2012; Marconcin, Priscila/GRO-2708-2022; Marques, Adilson/K-4529-2014; Ferrari, Gerson/P-1152-2014; Peralta, Miguel/H-1666-2017</t>
  </si>
  <si>
    <t>Marques, Adilson/0000-0001-9850-7771; Ferrari, Gerson/0000-0003-3177-6576; Ihle, Andreas/0000-0001-9845-5190; Peralta, Miguel/0000-0001-6072-6012; Marconcin, Priscila/0000-0002-1295-0826</t>
  </si>
  <si>
    <t>2296-2360</t>
  </si>
  <si>
    <t>10.3389/fped.2021.645074</t>
  </si>
  <si>
    <t>WOS:000658495900001</t>
  </si>
  <si>
    <t>Small glitches and other rotational irregularities of the Vela pulsar</t>
  </si>
  <si>
    <t>Context. Glitches are sudden increases in the rotation rate nu of neutron stars, which are thought to be driven by the neutron superfluid inside the star. The Vela pulsar presents a comparatively high rate of glitches, with 21 events reported since observations began in 1968. These are amongst the largest known glitches (17 of them have sizes Delta nu/nu &gt;= 10(-6)) and exhibit very similar characteristics. This similarity, combined with the regularity with which large glitches occur, has turned Vela into an archetype of this type of glitching behaviour. The properties of its smallest glitches, on the other hand, are not clearly established.Aims. We explore the population of small-amplitude, rapid rotational changes in the Vela pulsar and determine the rate of occurrence and sizes of its smallest glitches. This will help advance our understanding of the actual distribution of glitch sizes and inter-glitch waiting times in this pulsar, which has implications for theoretical models of the glitch mechanism.Methods. High-cadence observations of the Vela pulsar were taken between 1981 and 2005 at the Mount Pleasant Radio Observatory. An automated systematic search was carried out that investigated whether a significant change of spin frequency nu and/or the spin-down rate nu. nu . takes place at any given time.Results. We find two glitches that have not been reported before, with respective sizes Delta nu/nu of (5.550.03) x 10(-9) and (38 +/- 4) x 10(-9). The latter is followed by an exponential-like recovery with a characteristic timescale of 31 d. In addition to these two glitch events, our study reveals numerous events of all possible signatures (i.e. combinations of Delta nu and Delta nu. Delta nu . signs), all of them small with |Delta nu|/nu &lt;10(-9), which contribute to the Vela timing noise.Conclusions. The Vela pulsar presents an under-abundance of small glitches compared to many other glitching pulsars, which appears genuine and not a result of observational biases. In addition to typical glitches, the smooth spin-down of the pulsar is also affected by an almost continuous activity that can be partially characterised by small step-like changes in , nu. . nu , . or both. Simulations indicate that a continuous wandering of the rotational phase, following a red spectrum, could mimic such step-like changes in the timing residuals.</t>
  </si>
  <si>
    <t>Stepanova, Marina/D-6329-2011; Espinoza, Cristobal/U-4428-2017; Dodson, Richard/H-9100-2014</t>
  </si>
  <si>
    <t>Stepanova, Marina/0000-0002-1053-3375; Espinoza, Cristobal/0000-0003-2481-2348; Antonopoulou, Danai/0000-0003-0746-5364; Dodson, Richard/0000-0003-0392-3604</t>
  </si>
  <si>
    <t>MAR 1</t>
  </si>
  <si>
    <t>A25</t>
  </si>
  <si>
    <t>10.1051/0004-6361/202039044</t>
  </si>
  <si>
    <t>WOS:000625168700001</t>
  </si>
  <si>
    <t>Barbieri, S; Gómez, R; Marcus, B; Meyerovitch, T; Taati, S</t>
  </si>
  <si>
    <t>Barbieri, Sebastian; Gomez, Ricardo; Marcus, Brian; Meyerovitch, Tom; Taati, Siamak</t>
  </si>
  <si>
    <t>Gibbsian Representations of Continuous Specifications: The Theorems of Kozlov and Sullivan Revisited</t>
  </si>
  <si>
    <t>COMMUNICATIONS IN MATHEMATICAL PHYSICS</t>
  </si>
  <si>
    <t>The theorems of Kozlov and Sullivan characterize Gibbs measures as measures with positive continuous specifications. More precisely, Kozlov showed that every positive continuous specification on symbolic configurations of the lattice is generated by a norm-summable interaction. Sullivan showed that every shift-invariant positive continuous specification is generated by a shift-invariant interaction satisfying the weaker condition of variation-summability. These results were proven in the 1970s. An open question since that time is whether Kozlov's theorem holds in the shift-invariant setting, equivalently whether Sullivan's conclusion can be improved from variation-summability to norm-summability. We show that the answer is no: there exist shift-invariant positive continuous specifications that are not generated by any shift-invariant norm-summable interaction. On the other hand, we give a complete proof of an extension, suggested by Kozlov, of Kozlov's theorem to a characterization of positive continuous specifications on configuration spaces with arbitrary hard constraints. We also present an extended version of Sullivan's theorem. Aside from simplifying some of the arguments in the original proof, our new version of Sullivan's theorem applies in various settings not covered by the original proof. In particular, it applies when the support of the specification is the hard-core shift or the two-dimensional q-coloring shift for q &gt;= 6.</t>
  </si>
  <si>
    <t>Barbieri, Sebastián/HTS-1654-2023</t>
  </si>
  <si>
    <t>Taati, Siamak/0000-0002-6503-2754; Barbieri, Sebastian/0000-0001-9567-2085</t>
  </si>
  <si>
    <t>0010-3616</t>
  </si>
  <si>
    <t>1432-0916</t>
  </si>
  <si>
    <t>10.1007/s00220-021-03979-2</t>
  </si>
  <si>
    <t>FEB 2021</t>
  </si>
  <si>
    <t>WOS:000617094800001</t>
  </si>
  <si>
    <t>García-Hermoso, A; Ramírez-Vélez, R; Ramírez-Campillo, R; Peterson, MD; Martínez-Vizcaíno, V</t>
  </si>
  <si>
    <t>Garcia-Hermoso, Antonio; Ramirez-Velez, Robinson; Ramirez-Campillo, Rodrigo; Peterson, Mark D.; Martinez-Vizcaino, Vicente</t>
  </si>
  <si>
    <t>Reply to the comments on: concurrent aerobic plus resistance exercise versus aerobic exercise alone to improve health outcomes in paediatric obesity: a systematic review and meta-analysis</t>
  </si>
  <si>
    <t>BRITISH JOURNAL OF SPORTS MEDICINE</t>
  </si>
  <si>
    <t>Peterson, Mark/ABD-3853-2020; VIZCAINO, VICENTE/R-4336-2017; García-Hermoso, Antonio/ADU-2591-2022; Ramirez-Campillo, Rodrigo/M-1258-2016; Ramirez-Velez, Robinson/D-5311-2016; Garcia-Hermoso, Antonio/P-1857-2017</t>
  </si>
  <si>
    <t>Ramirez-Velez, Robinson/0000-0003-3075-6960; Peterson, Mark/0000-0002-9861-4275; Garcia-Hermoso, Antonio/0000-0002-1397-7182; Ramirez-Campillo, Rodrigo/0000-0003-2035-3279</t>
  </si>
  <si>
    <t>0306-3674</t>
  </si>
  <si>
    <t>1473-0480</t>
  </si>
  <si>
    <t>10.1136/bjsports-2018-099416</t>
  </si>
  <si>
    <t>WOS:000482510800019</t>
  </si>
  <si>
    <t>Hamm, E; Reis, P; LeBlanc, M; Roman, B; Cerda, E</t>
  </si>
  <si>
    <t>Hamm, Eugenio; Reis, Pedro; LeBlanc, Michael; Roman, Benoit; Cerda, Enrique</t>
  </si>
  <si>
    <t>Tearing as a test for mechanical characterization of thin adhesive films</t>
  </si>
  <si>
    <t>NATURE MATERIALS</t>
  </si>
  <si>
    <t>Thin adhesive films have become increasingly important in applications involving packaging, coating or for advertising. Once a film is adhered to a substrate, flaps can be detached by tearing and peeling, but they narrow and collapse in pointy shapes. Similar geometries are observed when peeling ultrathin films grown or deposited on a solid substrate, or skinning the natural protective cover of a ripe fruit. Here, we show that the detached flaps have perfect triangular shapes with a well-defined vertex angle; this is a signature of the conversion of bending energy into surface energy of fracture and adhesion. In particular, this triangular shape of the tear encodes the mechanical parameters related to these three forms of energy and could form the basis of a quantitative assay for the mechanical characterization of thin adhesive films, nanofilms deposited on substrates or fruit skin.</t>
  </si>
  <si>
    <t>Reis, Pedro/F-1176-2010; Hamm, Eugenio/A-7927-2013; Roman, Benoit/C-6273-2014</t>
  </si>
  <si>
    <t>Roman, Benoit/0000-0002-1473-2734</t>
  </si>
  <si>
    <t>1476-1122</t>
  </si>
  <si>
    <t>1476-4660</t>
  </si>
  <si>
    <t>10.1038/nmat2161</t>
  </si>
  <si>
    <t>WOS:000255257600020</t>
  </si>
  <si>
    <t>Vargas, RA; Soto-Aguilera, S; Parra, M; Herrera, S; Santibañez, A; Kossack, C; Saavedra, CP; Mora, O; Pineda, M; Gonzalez, O; Gonzalez, A; Maisey, K; Torres-Maravilla, E; Bermúdez-Humarán, LG; Suárez-Villota, EY; Tello, M</t>
  </si>
  <si>
    <t>Vargas, Rodrigo A.; Soto-Aguilera, Sarita; Parra, Mick; Herrera, Sebastian; Santibanez, Alvaro; Kossack, Camila; Saavedra, Claudia P.; Mora, Oscar; Pineda, Mauricio; Gonzalez, Oscar; Gonzalez, Alex; Maisey, Kevin; Torres-Maravilla, Edgar; Bermudez-Humaran, Luis G.; Suarez-Villota, Elkin Y.; Tello, Mario</t>
  </si>
  <si>
    <t>Analysis of microbiota-host communication mediated by butyrate in Atlantic salmon</t>
  </si>
  <si>
    <t>COMPUTATIONAL AND STRUCTURAL BIOTECHNOLOGY JOURNAL</t>
  </si>
  <si>
    <t>Butyrate is a microbiota-produced metabolite, sensed by host short-chain fatty acid receptors FFAR2 (Gpr43), FFAR3 (Gpr41), HCAR2 (Gpr109A), and Histone deacetylase (HDAC) that promotes microbiota-host crosstalk. Butyrate influences energy uptake, developmental and immune response in mammals. This microbial metabolite is produced by around 79 anaerobic genera present in the mammalian gut, yet little is known about the role of butyrate in the host-microbiota interaction in salmonid fish. To further our knowledge of this interaction, we analyzed the intestinal microbiota and genome of Atlantic salmon (Salmo salar), searching for butyrate-producing genera and host butyrate receptors. We identified Firmicutes, Proteobacteria, and Actinobacteria as the main butyrate-producing bacteria in the salmon gut microbiota. In the Atlantic salmon genome, we identified an expansion of genes orthologous to FFAR2 and HCAR2 receptors, and class I and IIa HDACs that are sensitive to butyrate. In addition, we determined the expression levels of orthologous of HCAR2 in the gut, spleen, and head-kidney, and FFAR2 in RTgutGC cells. The effect of butyrate on the Atlantic salmon immune response was evaluated by analyzing the pro and anti-inflammatory cytokines response in vitro in SHK-1 cells by RT-qPCR. Butyrate decreased the expression of the pro-inflammatory cytokine IL-1 beta and increased anti-inflammatory IL-10 and TGF-beta cytokines. Butyrate also reduced the expression of interferon-alpha, Mx, and PKR, and decreased the viral load at a higher concentration (4 mM) in cells treated with this molecule before the infection with Infectious Pancreatic Necrosis Virus (IPNV) by mechanisms independent of FFAR2, FFAR3 and HCAR2 expression that probably inhibit HDAC. Moreover, butyrate modified phosphorylation of cytoplasmic proteins in RTgutGC cells. Our data allow us to infer that Atlantic salmon have the ability to sense butyrate produced by their gut microbiota via different specific targets, through which butyrate modulates the immune response of pro and anti-inflammatory cytokines and the antiviral response.(c) 2023 The Authors. Published by Elsevier B.V. on behalf of Research Network of Computational and Structural Biotechnology. This is an open access article under the CC BY-NC-ND license (http://creativecommons.org/licenses/by-nc-nd/4.0/).</t>
  </si>
  <si>
    <t>Maisey, Kevin/AAP-2886-2021; BERMUDEZ, Luis/AAE-8917-2021; González, Alex/GYU-3220-2022; Tello, Mario/N-4198-2019; Villa, Edgar/KHC-3792-2024</t>
  </si>
  <si>
    <t>Torres-Maravilla, Edgar/0000-0002-3359-4517; Santibanez, Alvaro/0000-0001-9330-2961; Tello, Mario/0000-0003-4573-6460</t>
  </si>
  <si>
    <t>2001-0370</t>
  </si>
  <si>
    <t>10.1016/j.csbj.2023.03.050</t>
  </si>
  <si>
    <t>APR 2023</t>
  </si>
  <si>
    <t>WOS:000982616500001</t>
  </si>
  <si>
    <t>Ruiz, MC; Perelmulter, K; Levín, P; Romo, AIB; Lemus, L; Bollati-Fogolin, M; León, IE; Di Virgilio, AL</t>
  </si>
  <si>
    <t>Ruiz, Maria C.; Perelmulter, Karen; Levin, Pedro; Romo, Adolfo I. B.; Lemus, Luis; Bollati-Fogolin, Mariela; Leon, Ignacio E.; Di Virgilio, Ana Laura</t>
  </si>
  <si>
    <t>Antiproliferative activity of two copper (II) complexes on colorectal cancer cell models: Impact on ROS production, apoptosis induction and NF-κB inhibition</t>
  </si>
  <si>
    <t>EUROPEAN JOURNAL OF PHARMACEUTICAL SCIENCES</t>
  </si>
  <si>
    <t>The main goal of this work was to screen the antiproliferative activity and mechanism of actions of two copper complexes: [Cu(dmp)(2)(CH3CN)](2+) (1) and [Cu(phen)(2)(CH3CN)](2+) (2) on 2D and 3D colorectal cancer cells models. Cell viability studies on three colorectal cancer cell lines (HT-29, LS174T, Caco-2) displayed that 1 showed more robust antiproliferative activity than 2 and cisplatin. Intracellular copper content (63.24% and 48.06% for 1 and 2, respectively) can explain the differences in the cytotoxicity assay. ROS production is the primary mechanism of action involved in the antiproliferative activity of 1 showing 4-, 70- and 2.5- fold increased values of ROS level for HT-29, LS174T, Caco-2 cancer cell lines, respectively. This effect takes place along with the depolarization of the mitochondrial membrane at 2 mu M. Besides, both complexes increased apoptosis on three cancer cell lines at low micromolar concentrations (0.5-2.5 mu M). Moreover, 1 and 2 inhibited NF-kappa B pathway both in HT-29-NF-kappa B-hrGFP monolayer (0.5 to 1 mu M) and spheroids HT-29 GFP (5 to 10 mu M). This inhibitory effect leads to an inactivation of the MMP-9 expression on HT-29 cell line. Altogether, these results showed that 1 exhibits antiproliferative activity on human colorectal cancer cells in the monolayer and the 3D model.</t>
  </si>
  <si>
    <t>Levín, Pedro/ABG-4500-2020; leon, i/GZL-2093-2022; Romo, Adolfo/ABH-1261-2020</t>
  </si>
  <si>
    <t>LEMUS, LUIS/0000-0002-5499-8115; Barros Romo, Adolfo Ignacio/0000-0002-9288-2420; Levin, Pedro/0000-0001-5932-9001</t>
  </si>
  <si>
    <t>0928-0987</t>
  </si>
  <si>
    <t>1879-0720</t>
  </si>
  <si>
    <t>10.1016/j.ejps.2021.106092</t>
  </si>
  <si>
    <t>WOS:000804547300005</t>
  </si>
  <si>
    <t>Boynton, P; Patil, KR; Stefanini, I; Stelkens, R; Cubillos, FA</t>
  </si>
  <si>
    <t>Boynton, Primrose; Patil, Kiran R.; Stefanini, Irene; Stelkens, Rike; Cubillos, Francisco A.</t>
  </si>
  <si>
    <t>Yeast ecology and communities</t>
  </si>
  <si>
    <t>Patil, Kiran/B-9709-2009; Cubillos, Francisco/MIT-2389-2025; Stefanini, Irene/V-5673-2017; Cubillos, Francisco/G-5195-2019</t>
  </si>
  <si>
    <t>Boynton, Primrose/0000-0003-0720-8966; Cubillos, Francisco/0000-0003-3022-469X</t>
  </si>
  <si>
    <t>1-2</t>
  </si>
  <si>
    <t>10.1002/yea.3691</t>
  </si>
  <si>
    <t>WOS:000744338300001</t>
  </si>
  <si>
    <t>García-Hermoso, A; Hormazábal-Aguayo, I; Fernández-Vergara, O; Izquierdo, M; Alonso-Martínez, A; Bonilla-Vargas, KJ; Gonzalez-Ruíz, K; Ramírez-Vélez, R</t>
  </si>
  <si>
    <t>Garcia-Hermoso, Antonio; Hormazabal-Aguayo, Ignacio; Fernandez-Vergara, Omar; Izquierdo, Mikel; Alonso-Martinez, Alicia; Bonilla-Vargas, Kely Johana; Gonzalez-Ruiz, Katherine; Ramirez-Velez, Robinson</t>
  </si>
  <si>
    <t>Physical fitness components in relation to attention capacity in Latin American youth with overweight and obesity</t>
  </si>
  <si>
    <t>SCANDINAVIAN JOURNAL OF MEDICINE &amp; SCIENCE IN SPORTS</t>
  </si>
  <si>
    <t>The aim of the study was twofold: (a) to examine the association between health-related physical fitness and attention capacity in Latin American children and adolescents with overweight and obesity and (b) to test whether body composition outcomes are moderators of this association. A cross-sectional design was used to study 201 overweight/obese participants (12.1 +/- 2.1 years of age; 34.3% girls) from Chile (Active-Start study) and Colombia (HEPAFIT study). Body composition, muscular fitness, speed-agility, and cardiorespiratory fitness were evaluated using two similar test batteries (ALPHA and FUPRECOL). Attention capacity was measured by the d2 Test. Linear regression and moderation analyses were conducted. Linear regression analysis revealed an association between muscular fitness (beta = 0.245, P = .015), speed-agility (beta = -0.16, P = .027), cardiorespiratory fitness (beta = 0.331, P &lt; .001) and overall fitness score (beta = 0.210; P = .004) and attention capacity (all analyses were controlled for age, sex, peak height velocity, maternal education, and study setting). Moderation analysis using the Johnson-Neyman technique revealed that the effect of the relationship between muscular fitness score and speed-agility and attention capacity was stronger as fat mass and fat mass index increased. In conclusion, physical fitness components are associated with higher attention capacity in youth with overweight/obesity, but body composition seems to moderate these relationships. Randomized controlled trials in this population would help to better understand whether improvements in different components of physical fitness lead to better attention capacity, especially in youth with excess adiposity.</t>
  </si>
  <si>
    <t>García-Hermoso, Antonio/ADU-2591-2022; González-Ruíz, Katherine/CAA-4624-2022; Alonso-Martinez, Alicia M./KYR-7889-2024; Ramirez-Velez, Robinson/D-5311-2016; Garcia-Hermoso, Antonio/P-1857-2017; Izquierdo, Mikel/A-4894-2010</t>
  </si>
  <si>
    <t>Gonzalez-Ruiz, Katherine/0000-0001-7518-0761; Alonso-Martinez, Alicia M./0000-0002-7204-696X; Hormazabal Aguayo, Ignacio/0009-0002-7221-1731; Ramirez-Velez, Robinson/0000-0003-3075-6960; Garcia-Hermoso, Antonio/0000-0002-1397-7182; Izquierdo, Mikel/0000-0002-1506-4272</t>
  </si>
  <si>
    <t>0905-7188</t>
  </si>
  <si>
    <t>1600-0838</t>
  </si>
  <si>
    <t>10.1111/sms.13649</t>
  </si>
  <si>
    <t>MAR 2020</t>
  </si>
  <si>
    <t>WOS:000520525400001</t>
  </si>
  <si>
    <t>Borgna, V; Lobos-González, L; Guevara, F; Landerer, E; Bendek, M; Avila, R; Silva, V; Villota, C; Araya, M; Rivas, A; López, C; Socias, T; Castillo, J; Alarcón, L; Burzio, LO; Burzio, VA; Villegas, J</t>
  </si>
  <si>
    <t>Borgna, Vincenzo; Lobos-Gonzalez, Lorena; Guevara, Francisca; Landerer, Eduardo; Bendek, Maximiliano; Avila, Rodolfo; Silva, Veronica; Villota, Claudio; Araya, Mariela; Rivas, Alexis; Lopez, Constanza; Socias, Teresa; Castillo, Jorge; Alarcon, Luis; Burzio, Luis O.; Burzio, Veronica A.; Villegas, Jaime</t>
  </si>
  <si>
    <t>Targeting antisense mitochondrial noncoding RNAs induces bladder cancer cell death and inhibition of tumor growth through reduction of survival and invasion factors</t>
  </si>
  <si>
    <t>JOURNAL OF CANCER</t>
  </si>
  <si>
    <t>Knockdown of the antisense noncoding mitochondrial RNAs (ASncmtRNAs) induces apoptotic death of several human tumor cell lines, but not normal cells, supporting a selective therapy against different types of cancer. In this work, we evaluated the effects of knockdown of ASncmtRNAs on bladder cancer (BCa). We transfected the BCa cell lines UMUC-3, RT4 and T24 with the specific antisense oligonucleotide Andes-1537S, targeted to the human ASncmtRNAs. Knockdown induced a strong inhibition of cell proliferation and increase in cell death in all three cell lines. As observed in UMUC-3 cells, the treatment triggered apoptosis, evidenced by loss of mitochondrial membrane potential and Annexin V staining, along with activation of procaspase-3 and downregulation of the anti-apoptotic factors survivin and Bcl-xL. Treatment also inhibited cell invasion and spheroid formation together with inhibition of N-cadherin and MMP 11. In vivo treatment of subcutaneous xenograft UMUC-3 tumors in NOD/SCID mice with Andes-1537S induced inhibition of tumor growth as compared to saline control. Similarly, treatment of a high-grade bladder cancer PDX with Andes-1537S resulted in a strong inhibition of tumor growth. Our results suggest that ASncmtRNAs could be potent targets for bladder cancer as adjuvant therapy.</t>
  </si>
  <si>
    <t>Burzio, Veronica/HTP-0034-2023; Borgna, Vincenzo/AAZ-8414-2020; Villegas, Jaime/AAW-5938-2020</t>
  </si>
  <si>
    <t>Villota, Claudio/0000-0002-6233-8563; Villegas, Jaime/0000-0002-9556-4655; Lobos-Gonzalez, Lorena/0000-0002-4957-9864</t>
  </si>
  <si>
    <t>1837-9664</t>
  </si>
  <si>
    <t>10.7150/jca.38880</t>
  </si>
  <si>
    <t>WOS:000512895100013</t>
  </si>
  <si>
    <t>Rowe, PM; Cox, CJ; Neshyba, S; Walden, V</t>
  </si>
  <si>
    <t>Rowe, Penny M.; Cox, Christopher J.; Neshyba, Steven; Walden, Von P.</t>
  </si>
  <si>
    <t>Toward autonomous surface-based infrared remote sensing of polar clouds: retrievals of cloud optical and microphysical properties</t>
  </si>
  <si>
    <t>Improvements to climate model results in polar regions require improved knowledge of cloud properties. Surface-based infrared (IR) radiance spectrometers have been used to retrieve cloud properties in polar regions, but measurements are sparse. Reductions in cost and power requirements to allow more widespread measurements could be aided by reducing instrument resolution. Here we explore the effects of errors and instrument resolution on cloud property retrievals from downwelling IR radiances for resolutions of 0.1 to 20 cm(-1). Retrievals are tested on 336 radiance simulations characteristic of the Arctic, including mixed-phase, vertically inhomogeneous, and liquid-topped clouds and a variety of ice habits. Retrieval accuracy is found to be unaffected by resolution from 0.1 to 4 cm(-1), after which it decreases slightly. When cloud heights are retrieved, errors in retrieved cloud optical depth (COD) and ice fraction are considerably smaller for clouds with bases below 2 km than for higher clouds. For example, at a resolution of 4 cm(-1), with errors imposed (noise and radiation bias of 0.2 mW/(m(2) sr cm(-1)) and biases in temperature of 0.2 K and in water vapor of -3 %), using retrieved cloud heights, root-mean-square errors decrease from 1.1 to 0.15 for COD, 0.3 to 0.18 for ice fraction (f(ice)), and 10 to 7 mu m for ice effective radius (errors remain at 2 mu m for liquid effective radius). These results indicate that a moderately low-resolution, surface-based IR spectrometer could provide cloud property retrievals with accuracy comparable to existing higher-resolution instruments and that such an instrument would be particularly useful for low-level clouds.</t>
  </si>
  <si>
    <t>; COX, CHRISTOPHER/O-4276-2016</t>
  </si>
  <si>
    <t>Rowe, Penny/0000-0002-7594-0553; COX, CHRISTOPHER/0000-0003-2203-7173</t>
  </si>
  <si>
    <t>SEP 23</t>
  </si>
  <si>
    <t>10.5194/amt-12-5071-2019</t>
  </si>
  <si>
    <t>WOS:000487988900001</t>
  </si>
  <si>
    <t>Hajialyani, M; Farzaei, MH; Echeverría, J; Nabavi, SM; Uriarte, E; Sobarzo-Sánchez, E</t>
  </si>
  <si>
    <t>Hajialyani, Marziyeh; Farzaei, Mohammad Hosein; Echeverria, Javier; Nabavi, Seyed Mohammad; Uriarte, Eugenio; Sobarzo-Sanchez, Eduardo</t>
  </si>
  <si>
    <t>Hesperidin as a Neuroprotective Agent: A Review of Animal and Clinical Evidence</t>
  </si>
  <si>
    <t>Neuroprotection is the preservation of function and networks of neural tissues from damages caused by various agents, as well as neurodegenerative diseases such as Parkinson's, Alzheimer's, Huntington's diseases, and multiple sclerosis. Hesperidin, a flavanone glycoside, is a natural phenolic compound with a wide range of biological effects. Mounting evidence has demonstrated that hesperidin possesses inhibitory effect against development of neurodegenerative diseases. Our review discusses neuropharmacological mechanisms for preventive and therapeutic effects of hesperidin in neurodegenerative diseases. In addition, the review examines clinical evidence confirming its neuroprotective function. Various cellular and animal models specific to neurodegenerative diseases have been conducted to evaluate the underlying neuropharmacological mechanisms of hesperidin. Neuroprotective potential of this flavonoid is mediated by improvement of neural growth factors and endogenous antioxidant defense functions, diminishing neuro-inflammatory and apoptotic pathways. Despite the various preclinical studies on the role of hesperidin in the neurodegenerative diseases, less is known about its definite effect on humans. A limited number of clinical trials showed that hesperidin-enriched dietary supplements can significantly improve cerebral blood flow, cognition, and memory performance. Further clinical trials are also required for confirming neuroprotective efficacy of this natural flavonoid and evaluating its safety profile.</t>
  </si>
  <si>
    <t>Nabavi, Seyed Mohammad/G-5335-2010; Sobarzo-Sánchez, Eduardo/B-1507-2012; Farzaei, Mohammad/M-5779-2017; Echeverría, Javier/AAK-3323-2020; Uriarte, Eugenio/F-5691-2012</t>
  </si>
  <si>
    <t>Echeverria, Javier/0000-0002-1688-968X; SOBARZO-SANCHEZ, EDUARDO/0000-0002-2790-2544; Hajialyani, Marziyeh/0000-0003-4323-0466; Farzaei, Mohammad Hosein/0000-0001-7081-6521; Uriarte, Eugenio/0000-0001-6218-2899</t>
  </si>
  <si>
    <t>10.3390/molecules24030648</t>
  </si>
  <si>
    <t>WOS:000458934000272</t>
  </si>
  <si>
    <t>Bezares, M; Goulart, É; Palomera, G; Pons, DJ; Reyes, EG</t>
  </si>
  <si>
    <t>Bezares, Miguel; Goulart, Erico; Palomera, Gonzalo; Pons, Daniel J.; Reyes, Enrique G.</t>
  </si>
  <si>
    <t>From Hopf fibrations to exotic causal replacements</t>
  </si>
  <si>
    <t>Topological solitons are relevant in several areas of physics. Recently, these configurations have been investigated in contexts as diverse as hydrodynamics, Bose-Einstein condensates, ferromagnetism, knotted light and non-Abelian gauge theories. In this paper we address the issue of wave propagation about a static Hopf soliton in the context of the Nicole model. Working within the geometrical optics limit, we show that several nontrivial lensing effects emerge due to nonlinear interactions as long as the theory remains hyperbolic. We conclude that similar effects are very likely to occur in effective field theories characterized by a topological invariant such as the Skyrme model of pions.</t>
  </si>
  <si>
    <t>Goulart, Érico/AAA-4984-2019; Reyes, Enrique/AAD-1308-2019; Bezares, Miguel/R-3716-2019</t>
  </si>
  <si>
    <t>Bezares, Miguel/0000-0002-3739-6980; Reyes, Enrique G./0000-0001-8460-444X</t>
  </si>
  <si>
    <t>2470-0010</t>
  </si>
  <si>
    <t>2470-0029</t>
  </si>
  <si>
    <t>OCT 6</t>
  </si>
  <si>
    <t>10.1103/PhysRevD.94.084011</t>
  </si>
  <si>
    <t>WOS:000385246500008</t>
  </si>
  <si>
    <t>Juri, C; Chana, P; Kramer, V; Pruzzo, R; Amaral, H; Riss, PJ; Rösch, F</t>
  </si>
  <si>
    <t>Juri, Carlos; Chana, Pedro; Kramer, Vasko; Pruzzo, Rossana; Amaral, Horacio; Riss, Patrick J.; Roesch, Frank</t>
  </si>
  <si>
    <t>Imaging Nigrostriatal Dopaminergic Deficit in Holmes Tremor with 18F-PR04.MZ-PET/CT</t>
  </si>
  <si>
    <t>CLINICAL NUCLEAR MEDICINE</t>
  </si>
  <si>
    <t>Holmes tremor is an infrequent clinical syndrome characterized by unilateral rest, postural, and action tremor often secondary to a brain lesion. We herein report an interesting case of Holmes tremor studied with PET and F-18-PR04.MZ, a new high-affinity radioligand for dopamine transporters, currently under investigation at our center. F-18-PR04.MZ-PET can be useful to study the integrity of the nigrostriatal dopaminergic system to improve diagnosis and therapeutic outcome in patients with Holmes tremor and Parkinson disease.</t>
  </si>
  <si>
    <t>Chana, Pedro/ABG-9944-2020; Juri, Carlos/B-6213-2008; Roesch, Frank/AAU-9403-2020</t>
  </si>
  <si>
    <t>Juri, Carlos/0000-0002-1939-5976</t>
  </si>
  <si>
    <t>0363-9762</t>
  </si>
  <si>
    <t>1536-0229</t>
  </si>
  <si>
    <t>10.1097/RLU.0000000000000868</t>
  </si>
  <si>
    <t>WOS:000359668600012</t>
  </si>
  <si>
    <t>Vargas, E; Melo, WWM; Allende, S; Neumann, RF; Denardin, JC; Altbir, D; Bahiana, M</t>
  </si>
  <si>
    <t>Vargas, E.; Melo, W. W. M.; Allende, S.; Neumann, R. F.; Denardin, J. C.; Altbir, D.; Bahiana, M.</t>
  </si>
  <si>
    <t>Dipolar-driven formation of cobalt nanoparticle chains in polyethylene films</t>
  </si>
  <si>
    <t>MATERIALS CHEMISTRY AND PHYSICS</t>
  </si>
  <si>
    <t>Using a simple method we produce polyethylene film with embedded chains of cobalt nanoparticles. The crystalline magnetic nanoparticles were synthesized through a simple chemical reduction method at room temperature using ultrasonic assistance. These particles were incorporated in a polyethylene matrix using a solution blending mechanism under an external magnetic field. The morphology and magnetic properties of Co nanoparticle aggregates were studied experimentally and by means of Monte Carlo simulations, showing a chain-like structures due to the strong dipolar interaction between aggregates. The hysteresis loops reveal typical ferromagnetic behavior at room temperature and magnetic anisotropy associated to a linear ordering of particles into the polymeric matrix. Numerical results confirmed the chain-like character of the aggregates and that an external magnetic field aligns them along its direction. The low-cost of the fabrication process of these polymeric magnetic films give them a strong potential for industrial and technological applications. (C) 2015 Elsevier B.V. All rights reserved.</t>
  </si>
  <si>
    <t>Denardin, Juliano/S-6407-2019; Vargas, Edson/E-8344-2015; Altbir, Dora/R-6781-2018; Neumann, Rodrigo/D-8111-2013</t>
  </si>
  <si>
    <t>Denardin, Juliano/0000-0002-1373-6207; Altbir, Dora/0000-0002-2945-4909; Neumann, Rodrigo/0000-0003-4435-0507</t>
  </si>
  <si>
    <t>0254-0584</t>
  </si>
  <si>
    <t>1879-3312</t>
  </si>
  <si>
    <t>10.1016/j.matchemphys.2015.05.062</t>
  </si>
  <si>
    <t>WOS:000359958800031</t>
  </si>
  <si>
    <t>Mellado, C; Hanusch, F; Humanes, ML; Roses, S; Pereira, F; Yez, L; De León, S; Márquez, M; Subervi, F; Wyss, V</t>
  </si>
  <si>
    <t>Mellado, Claudia; Hanusch, Folker; Humanes, Maria Luisa; Roses, Sergio; Pereira, Fabio; Yez, Lyuba; De Leon, Salvador; Marquez, Mireya; Subervi, Federico; Wyss, Vinzenz</t>
  </si>
  <si>
    <t>THE PRE-SOCIALIZATION OF FUTURE JOURNALISTS An examination of journalism students' professional views in seven countries</t>
  </si>
  <si>
    <t>JOURNALISM STUDIES</t>
  </si>
  <si>
    <t>While the role of university journalism education in the professionalization of journalists has been extensively debated, systematic and comparative studies of journalism students are still scarce. This paper reports the findings from a comparative study of journalism students in seven countries: Australia, Brazil, Chile, Mexico, Spain, Switzerland, and the United States. The data show a number of similarities, but also important differences between pre-professional cultures in journalism around the world. The findings are in line with recent conceptualizations of media systems, although some variations and particularities are observed at the country level. While students in all countries reject a loyal approach and favor a citizen-oriented role, they also do so to different extents. Brazilian and Chilean students believe in the citizen-oriented and watchdog roles, whereas their counterparts in Australia, Switzerland, and the United States favor the consumer-oriented approach to a greater extent. Mexican and Spanish students, on the other hand, while supporting the citizen-oriented role, reject the loyal role comparatively less than the rest of the countries.</t>
  </si>
  <si>
    <t>Márquez Ramírez, Mireya/AAC-9561-2020; Roses, Sergio/C-2648-2013; Humanes, María/C-2627-2013; Pereira, Fabio Henrique/A-2037-2010; De-Leon-Vazquez, Salvador/F-4997-2019</t>
  </si>
  <si>
    <t>Roses, Sergio/0000-0003-3264-6888; Pereira, Fabio Henrique/0000-0002-2867-0167; De-Leon-Vazquez, Salvador/0000-0002-7859-0480; Marquez Ramirez, Mireya/0000-0001-5890-2363; Hanusch, Folker/0000-0002-7344-0483; Mellado, Claudia/0000-0002-9281-1526</t>
  </si>
  <si>
    <t>1461-670X</t>
  </si>
  <si>
    <t>1469-9699</t>
  </si>
  <si>
    <t>10.1080/1461670X.2012.746006</t>
  </si>
  <si>
    <t>WOS:000326012900006</t>
  </si>
  <si>
    <t>Severino-González, P; Mendivelso-Carrillo, H; Lobos-Cisternas, J; Calderón-Morales, W; Guerrero-Miranda, M; Villar-Olaeta, J; Ramírez-Molina, R; Abril-Teatin, J; Scott-Kinney, I</t>
  </si>
  <si>
    <t>Severino-Gonzalez, Pedro; Mendivelso-Carrillo, Harold; Lobos-Cisternas, Jaime; Calderon-Morales, Walter; Guerrero-Miranda, Mary; Villar-Olaeta, Javier; Ramirez-Molina, Reynier; Abril-Teatin, Jheisson; Scott-Kinney, Ian</t>
  </si>
  <si>
    <t>SPIRITUAL INTELLIGENCE AND HIGHER EDUCATION: SELF-KNOWLEDGE, NEEDS, AND PRACTICES IN UNIVERSITY STUDENTS IN CHILE</t>
  </si>
  <si>
    <t>INTERCIENCIA</t>
  </si>
  <si>
    <t>Research that considers spiritual intelligence in higher education has left room for exploration in Latin America. The objective of this study was to analyze spiritual intelligence through self-knowledge, considering the spiritual needs and practices of university students. The sample consisted of 362 university students from Chile. An exploratory and confirmatory factor analysis was performed, and subsequently, PLS-SEM was applied. Regarding the results, the scale is structured as follows: Self-knowledge, Spiritual needs, and Spiritual practices. In addition, it was found that Self-knowledge influences Spiritual needs and Spiritual practices. Finally, it is essential that universities implement strategies for the development of spiritual intelligence focused on training in values such as empathy, dignity, and solidarity, through the search for peace and a sense of transcendence.</t>
  </si>
  <si>
    <t>Ramírez Molina, Reynier/GLR-9108-2022; Villar, Javier/KTP-8342-2024</t>
  </si>
  <si>
    <t>0378-1844</t>
  </si>
  <si>
    <t>WOS:001436851300005</t>
  </si>
  <si>
    <t>Ferrero-Hernández, P; Farías-Valenzuela, C; Castillo-Paredes, A; Rezende, LFM; Cristi-Montero, C; Sadarangani, KP; Christofaro, DGD; Ferrari, G</t>
  </si>
  <si>
    <t>Ferrero-Hernandez, P.; Farias-Valenzuela, C.; Castillo-Paredes, A.; Rezende, L. F. M.; Cristi-Montero, C.; Sadarangani, K. P.; Christofaro, D. G. D.; Ferrari, G.</t>
  </si>
  <si>
    <t>Preventable incidence cases from non-communicable diseases attributable to insufficient physical activity in Chile</t>
  </si>
  <si>
    <t>PUBLIC HEALTH</t>
  </si>
  <si>
    <t>Objectives: Lack of sufficient physical activity (PA) has been associated with an increased risk of several non-communicable diseases (NCDs) and all-cause mortality. This study aimed to estimate the number of preventable incidence cases of NCDs attributable to insufficient PA in the Chilean population. Study design: Comparative risk assessment modelling study. Methods: This study examined data from 5834 participants aged &gt;20 years from the Chilean National Survey (2016-2017). PA was assessed by the Global Physical Activity Questionnaire (GPAQ), and metabolic equivalent of tasks (METs) were assigned according to PA intensity. Estimated incidence cases of NCDs in Chile in 2019 were obtained from the Global Burden of Disease study. Relative risks for breast cancer, colon cancer, ischaemic heart disease, diabetes and stroke were obtained from a published metaanalysis and applied to the prevalence of insufficient PA estimates through the potential impact fraction equation. Results: High levels of PA (&gt;8000 MET-min/week) could potentially avoid more than 22,000 (64.6 %) incidence NCD cases, ranging from 498 (10.1 %) preventable cases of breast cancer to 5629 (14.7 %) cases of diabetes. Other modelled scenarios also showed to reduce the incidence cases of all five NCDs but to a lesser extent; where at least PA recommendation was achieved, preventable NCDs were reduced by 6522 cases (18.7 %), and where a 10 % relative reduction in insufficient PA level in the population was achieved, preventable NCDs were reduced by 651 (1.8 %) cases. Conclusions: The study results provide estimates for the incidence cases of preventable NCDs attributable to insufficient PA, highlighting the important role of PA in NCD prevention in Chile. (c) 2023 The Royal Society for Public Health. Published by Elsevier Ltd. All rights reserved.</t>
  </si>
  <si>
    <t>Ferrari, Gerson/HHM-6173-2022; Castillo-Paredes, Antonio/HLP-6825-2023; Rezende, Leandro/C-1724-2012; Ferrari, Gerson/P-1152-2014</t>
  </si>
  <si>
    <t>Rezende, Leandro/0000-0002-7469-1399; Ferrari, Gerson/0000-0003-3177-6576</t>
  </si>
  <si>
    <t>0033-3506</t>
  </si>
  <si>
    <t>1476-5616</t>
  </si>
  <si>
    <t>10.1016/j.puhe.2023.10.048</t>
  </si>
  <si>
    <t>WOS:001125635300001</t>
  </si>
  <si>
    <t>Kumar, C; Kashyap, V; Kumar, A; Sharma, AK; Gupta, D; Singh, DP; Saxena, K</t>
  </si>
  <si>
    <t>Kumar, Chandra; Kashyap, Vikas; Kumar, Anand; Sharma, Avadhesh Kumar; Gupta, Deepak; Singh, Dinesh Pratap; Saxena, Kapil</t>
  </si>
  <si>
    <t>Reframe of Fowler-Northeim Approach for Electron Field Emission of a Vertical Silicon Nanowires</t>
  </si>
  <si>
    <t>SILICON</t>
  </si>
  <si>
    <t>Determining the electron field emission (FE) turn-on field of the silicon nanowires(SiNWs) array can better adapt to the application of field-assisted photocathode. Here, we report the observations of FE from SiNWs grown on n-type Si(100) by utilizing silver induce chemical etching (SICE) approach. The growth of SiNWs is confirmed by XPS and XRD spectra and the optical band gaps, studied from the Kubelka-Munk function reveals the red shifting behavior. The grown SiNWs show an excellent FE property. The new proposed analytical framework enables one to understand the FE properties in better sense as compared to the conventional utilized framework, named as Fowler-Nordhiem (F-N) approach. It improves the analysis by introducing a new parameter i.e. boost-factor to take care of the FE data in totality unlike the traditional framework, where only currents were considered for higher electric fields. Moreover, it also addresses the ambiguity present in the previously used approach. A quantum mechanical model is adopted to explain the improved FE properties from these NWs by using the concept of tunneling probability. These results can enrich our knowledge on the FE of SiNWs and are highly related to the development of the next-generation of Si nano-electronic devices.</t>
  </si>
  <si>
    <t>Gupta, Deepak/AAQ-6003-2021; Singh, Dinesh/A-2509-2011</t>
  </si>
  <si>
    <t>Gupta, Deepak/0000-0002-4228-2523</t>
  </si>
  <si>
    <t>1876-990X</t>
  </si>
  <si>
    <t>1876-9918</t>
  </si>
  <si>
    <t>10.1007/s12633-023-02505-4</t>
  </si>
  <si>
    <t>WOS:000998651600002</t>
  </si>
  <si>
    <t>Carreño, A; Gacitúa, M; Solis-Céspedes, E; Páez-Hernández, D; Swords, WB; Meyer, GJ; Preite, MD; Chávez, I; Vega, A; Fuentes, JA</t>
  </si>
  <si>
    <t>Carreno, Alexander; Gacitua, Manuel; Solis-Cespedes, Eduardo; Paez-Hernandez, Dayan; Swords, Wesley B.; Meyer, Gerald J.; Preite, Marcelo D.; Chavez, Ivonne; Vega, Andres; Fuentes, Juan A.</t>
  </si>
  <si>
    <t>New Cationic fac-[Re(CO)3(deeb)B2]+ Complex, Where B2 Is a Benzimidazole Derivative, as a Potential New Luminescent Dye for Proteins Separated by SDS-PAGE</t>
  </si>
  <si>
    <t>FRONTIERS IN CHEMISTRY</t>
  </si>
  <si>
    <t>Sodium-dodecyl-sulfate polyacrylamide gel electrophoresis (SDS-PAGE) can be used to separate proteins based mainly on their size such as in denaturing gels. Different staining methods have been reported to observe proteins in the gel matrix, where the most used dyes are generally anionic. Anionic dyes allow for interactions with protonated amino acids, retaining the dye in the proteins. Fluorescent staining is an alternative technique considered to be sensitive, safe, and versatile. Some anionic complexes based on d(6) transition metals have been used for this purpose, where cationic dyes have been less explored in this context. In this work, we synthesized and characterized a new monocationic rhenium complex fac-[Re(CO)(3)(deeb)B2](+) (where deeb is 4,4 '-bis(ethoxycarbonyl)-2,2 '-bpy and B2 is 2,4-di-tert-butyl-6-(3H-imidazo[4,5-c]pyridine-2-yl)phenol). We carried out a structural characterization of this complex by MS+, FTIR, H-1 NMR, D2O exchange, and HHCOSY. Moreover, we carried out UV-Vis, luminescence, and cyclic voltammetry experiments to understand the effect of ligands on the complex's electronic structure. We also performed relativistic theoretical calculations using the B3LYP/TZ2P level of theory and R-TDDFT within a dielectric continuum model (COSMO) to better understand electronic transitions and optical properties. We finally assessed the potential of fac-[Re(CO)(3)(deeb)B2](+) (as well as the precursor fac-Re(CO)(3)(deeb)Br and the free ligand B2) to stain proteins separated by SDS-PAGE. We found that only fac-[Re(CO)(3)(deeb)B2](+) proved viable to be directly used as a luminescent dye for proteins, presumably due to its interaction with negatively charged residues in proteins and by weak interactions provided by B2. In addition, fac-[Re(CO)(3)(deeb)B2](+) seems to interact preferentially with proteins and not with the gel matrix despite the presence of sodium dodecyl sulfate (SDS). In future applications, these alternative cationic complexes might be used alone or in combination with more traditional anionic compounds to generate counterion dye stains to improve the process.</t>
  </si>
  <si>
    <t>Vega, Andres/B-2122-2010; Gacitua, Manuel/R-8868-2019; Páez-Hernández, Dayán/AAJ-3317-2020; Carreno, Alexander/I-6374-2019; Swords, Wesley/J-9854-2019; Preite, Marcelo/J-7750-2015</t>
  </si>
  <si>
    <t>Fuentes, Juan A./0000-0002-9374-0707; Carreno, Alexander/0000-0001-9733-8224; Solis-Cespedes, Eduardo/0000-0002-7834-524X; Paez-Hernandez, Dayan/0000-0002-8163-1343; Gacitua, Manuel/0000-0003-0807-2677</t>
  </si>
  <si>
    <t>2296-2646</t>
  </si>
  <si>
    <t>MAR 25</t>
  </si>
  <si>
    <t>10.3389/fchem.2021.647816</t>
  </si>
  <si>
    <t>WOS:000637727700001</t>
  </si>
  <si>
    <t>Soto, GE; Vergara, PM; Lizama, ME; Celis, C; Rozzi, R; Duron, Q; Hahn, IJ; Jiménez, JE</t>
  </si>
  <si>
    <t>Soto, Gerardo E.; Vergara, Pablo M.; Lizama, Marlene E.; Celis, Cristian; Rozzi, Ricardo; Duron, Quiterie; Hahn, Ingo J.; Jimenez, Jaime E.</t>
  </si>
  <si>
    <t>Do beavers improve the habitat quality for Magellanic Woodpeckers?</t>
  </si>
  <si>
    <t>BOSQUE</t>
  </si>
  <si>
    <t>The effect of the disturbances caused by the American beaver (Castor canadensis), introduced to the Cape Horn Biosphere Reserve, on species of birds that are forest habitat specialists is poorly understood. Using telemetry data, we determined which attributes of abandoned beaver meadows have a strong impact on habitat selection by the Magellanic woodpecker (Campephilus magellanicus). We detected a positive relationship between the woodpecker habitat use and the fraction of old-growth forest located near these meadows. These results suggest that favorable habitat conditions are generated around small meadows with old-growth forest, because they might increase availability of wood-boring larvae.</t>
  </si>
  <si>
    <t>Soto, Gerardo/JAX-4165-2023; Jimenez, Jaime/AAO-7531-2020; Vergara, Pablo/F-2519-2010; Rozzi, Ricardo/G-1047-2012</t>
  </si>
  <si>
    <t>Vergara, Pablo/0000-0002-0024-1678; Rozzi, Ricardo/0000-0001-5265-8726; Soto, Gerardo/0000-0002-9706-6588</t>
  </si>
  <si>
    <t>0304-8799</t>
  </si>
  <si>
    <t>10.4067/S0717-92002012000300007</t>
  </si>
  <si>
    <t>WOS:000311806400007</t>
  </si>
  <si>
    <t>Paredes-García, V; Rojas, I; Venegas-Yazigi, D; Spodine, E; Resende, JALC; Vaz, MGF; Novak, MA</t>
  </si>
  <si>
    <t>Paredes-Garcia, V.; Rojas, I.; Venegas-Yazigi, D.; Spodine, E.; Resende, J. A. L. C.; Vaz, M. G. F.; Novak, M. A.</t>
  </si>
  <si>
    <t>cis-[Ni(μ-ox)(H2O)2]∞: Metal organic coordination polymer assembled by oxalate ligand: Structural and magnetic characterization</t>
  </si>
  <si>
    <t>12th International Conference on Molecule-Based Magnets (ICMM)</t>
  </si>
  <si>
    <t>OCT 08-12, 2010</t>
  </si>
  <si>
    <t>Beijing, PEOPLES R CHINA</t>
  </si>
  <si>
    <t>In this work, we describe for first time, the structure and magnetic characterization of the one dimensional catena cis-[Ni(mu-ox)(H2O)(2)](infinity) (1), which was obtained by solvothermal synthesis. Cis-[Ni(mu-ox)(H2O)(2)]infinity crystallizes in a C2/c spatial group. The asymmetric unit contains only one type of nickel atom, oxalate ligand and water molecules. The chain backbone is constructed by the bis-chelating coordination mode of the oxalate ligand, presenting a zigzag chain in the [1 0 1] direction. The nickel ions have a distorted octahedral geometry, surrounded by six oxygens, four of them from two different oxalate ligands and the other two from the cis-coordinated water molecules. Thermal dependence of the magnetic susceptibility of (1) was studied in a temperature range of 2.5-255 K, at applied fields of 0.10 and 0.25 kOe. The plot of chi T-M(T) shows antiferromagnetic interactions between the Ni(II) centres. The experimental data were fitted between 255 and 30 K. using an empirical expression for a chain of equally spaced Ni(II) centres. The best fit of the experimental date gave a J value of -57 cm(-1), which is much higher that the obtained for the trans-analogue. Irreversibility between ZFC and FC measurements below 9 K was observed, indicating some kind of magnetic ordering. (C) 2011 Elsevier Ltd. All rights reserved.</t>
  </si>
  <si>
    <t>Rojas, Ignacio/B-7481-2013; Novak, Miguel/IZP-7982-2023; Paredes-Garcia, Veronica/C-4415-2011; Resende, Jackson/O-6117-2015; Vaz, Maria/J-2908-2012; Venegas-Yazigi, Diego/C-5022-2009</t>
  </si>
  <si>
    <t>Resende, Jackson/0000-0002-5366-4156; Vaz, Maria/0000-0001-9855-5909; Venegas-Yazigi, Diego/0000-0001-7816-2841</t>
  </si>
  <si>
    <t>NOV 28</t>
  </si>
  <si>
    <t>10.1016/j.poly.2011.03.035</t>
  </si>
  <si>
    <t>WOS:000298522800040</t>
  </si>
  <si>
    <t>Ormazábal, E; Moreno-Serna, V; Sepúlveda, FA; Loyo, C; Ortiz, JA; Melo, F; Ulloa, MT; Rivas, L; Corrales, T; Matiacevich, S; Zapata, PA</t>
  </si>
  <si>
    <t>Ormazabal, Enzo; Moreno-Serna, Viviana; Sepulveda, Francesca A.; Loyo, Carlos; Ortiz, J. Andres; Melo, Francisco; Ulloa, Maria T.; Rivas, Lina; Corrales, Teresa; Matiacevich, Silvia; Zapata, Paula A.</t>
  </si>
  <si>
    <t>Antimicrobial nanocomposites based on biowaste eggshell derived CaO nanoparticles for potential food packaging application</t>
  </si>
  <si>
    <t>FOOD AND BIOPRODUCTS PROCESSING</t>
  </si>
  <si>
    <t>In this study, antimicrobial nanocomposites based on low-density polyethylene (LDPE) and calcium oxide nanoparticles (CaO) were developed for potential use in food packaging. CaO nanoparticles, averaging 5.6 +/- 1.8 nm in diameter, were synthesized from eggshells and surface-modified with oleic acid (O-CaO). Nanocomposites were prepared via melt-blending, incorporating nanoparticles into neat LDPE at 5 and 10 wt% concentrations. Scanning electron microscopy (SEM) and transmission electron microscopy (TEM) analyses revealed improved distribution and dispersion of O-CaO nanoparticles within the polymer matrix compared to unmodified CaO. This enhanced dispersion increased the crystallinity percentage (%X-c) of LDPE/O-CaO from 14 % to 18 %. Mechanical testing showed a 22 % increase in Young's modulus for nanocomposites with 5 wt% O-CaO, with dynamic mechanical thermal analysis (DMTA) confirming increased stiffness at low temperatures. The nanocomposite films exhibited high antimicrobial efficacy, reducing Escherichia coli populations by over 74 %, dependent on nanoparticle surface modification. These findings suggest that LDPE/O-CaO films are a promising alternative for antimicrobial food packaging applications.</t>
  </si>
  <si>
    <t>Ortiz, J. Andrés/R-4060-2019; Sepúlveda, Francesca/AAW-8092-2021; Loyo, Carlos/AAZ-6777-2021; Moreno Serna, Viviana/LZI-3166-2025</t>
  </si>
  <si>
    <t>Moreno Serna, Viviana/0000-0001-9042-1738; Sepulveda Espinoza, Francesca Antonella/0000-0001-5135-8123; Zapata, Paula Andrea/0000-0003-3361-6226; Ortiz, J. Andres/0000-0002-3142-9470</t>
  </si>
  <si>
    <t>0960-3085</t>
  </si>
  <si>
    <t>1744-3571</t>
  </si>
  <si>
    <t>10.1016/j.fbp.2024.09.003</t>
  </si>
  <si>
    <t>WOS:001317627600001</t>
  </si>
  <si>
    <t>Blanchet, C; Peralta, M; Nascimento, MD; Gouveia, ER; Ferrari, G; Ribeiro, TD; Marques, A</t>
  </si>
  <si>
    <t>Blanchet, Clement; Peralta, Miguel; Nascimento, Marcelo de Maio; Gouveia, Elvio R.; Ferrari, Gerson; Ribeiro, Tiago D.; Marques, Adilson</t>
  </si>
  <si>
    <t>Grip strength buffers the harmful association between multimorbidity and depression among middle-aged and older adults</t>
  </si>
  <si>
    <t>ARCHIVES OF GERONTOLOGY AND GERIATRICS</t>
  </si>
  <si>
    <t>Background: Grip strength (GS) is associated to both multimorbidity and depression, however its possible moderating effect is unknown. This study aimed to investigate GS moderating effect on the association between multimorbidity and depression. Methods: Data from SHARE wave 8 was used. Participant were 41457 middle-aged and older adults (17954 men) from 18 European countries. A regression analysis was conducted for the moderating effect of sex- and agespecific GS quartiles (W) on the association between number of chronic diseases (X1) or multimorbidity (X2) and depression symptoms (Y). Results: More chronic diseases were associated with greater depressive symptomatology (men: B = 0.39, 95 % CI: 0.35, 0.42; women: B = 0.42, 95 % CI: 0.39, 0.45). On the other hand, being in a higher GS quartile was associated with fewer depression symptoms, and this association was stronger the higher the quartile was. Having a higher GS represented a decrease in depression symptoms associated with multimorbidity for men (quartile 1: B = 0.85, 95 % CI = 0.74, 0.95 vs. quartile 4: B = 0.49, 95 % CI = 0.38, 0.61) and women (quartile 1: B = 1.08, 95 %CI = 0.97, 1.19 vs. quartile 4: B = 0.59, 95 %CI: 0.47, 0.70). Conclusions: Strategies aiming to reduce the impact of multimorbidity on mental health should promote musclestrengthening physical activity among middle-aged and older adults.</t>
  </si>
  <si>
    <t>Ribeiro, Tiago/HHT-0329-2022; Ferrari, Gerson/HHM-6173-2022; Peralta, Miguel/H-1666-2017; Gouveia, Elvio Rubio/F-9156-2015; Ferrari, Gerson/P-1152-2014; Marques, Adilson/K-4529-2014</t>
  </si>
  <si>
    <t>Peralta, Miguel/0000-0001-6072-6012; Gouveia, Elvio Rubio/0000-0003-0927-692X; Ferrari, Gerson/0000-0003-3177-6576; Blanchet, Clement Fabrice Laurent/0009-0006-7383-1632; Marques, Adilson/0000-0001-9850-7771; D. Ribeiro, Tiago/0000-0001-5602-048X; de Maio Nascimento, Marcelo/0000-0002-3577-3439</t>
  </si>
  <si>
    <t>0167-4943</t>
  </si>
  <si>
    <t>1872-6976</t>
  </si>
  <si>
    <t>10.1016/j.archger.2024.105391</t>
  </si>
  <si>
    <t>WOS:001209357400001</t>
  </si>
  <si>
    <t>Garcia-Cordero, I; Migeot, J; Fittipaldi, S; Aquino, A; Campo, CG; García, A; Ibáñez, A</t>
  </si>
  <si>
    <t>Garcia-Cordero, Indira; Migeot, Joaquin; Fittipaldi, Sol; Aquino, Alexia; Gonzalez Campo, Cecilia; Garcia, Adolfo; Ibanez, Agustin</t>
  </si>
  <si>
    <t>Metacognition of emotion recognition across neurodegenerative diseases</t>
  </si>
  <si>
    <t>Metacognition (monitoring) of emotion recognition is fundamental for social interactions. Correct recognition of and confidence in the emotional meaning inferred from others' faces are fundamental for guiding and adjusting interpersonal behavior. Yet, although emotion recognition impairments are well documented across neurodegenerative diseases, the role of metacognition in this domain remains poorly understood. Here, we evaluate multimodal neurocognitive markers of metacognition in 83 subjects, encompassing patients with behavioral variant frontotemporal dementia [bvFTD, n = 18], Alzheimer's disease [AD, n = 27], and demographically-matched controls (n = 38). Participants performed a classical facial emotion recognition task and, after each trial, they rated their confidence in their performance. We examined two measures of metacognition: (i) calibration: how well confidence tracks accuracy; and (ii) a metacognitive index (MI) capturing the magnitude of the difference between confidence and accuracy. Then, whole-brain grey matter volume and fMRI-derived resting-state functional connectivity were analyzed to track associations with metacognition. Results showed that metacognition deficits were linked to basic emotion recognition. Metacognition of negative emotions was compromised in patients, especially disgust in bvFTD as well as sadness in AD. Metacognition impairments were associated with reduced volume of frontotemporo-insular and subcortical areas in bvFTD and fronto-parietal regions in AD. Metacognition deficits were associated with disconnection of large-scale fronto-posterior networks for both groups. This study reveals a link between emotion recognition and metacognition in neurodegenerative diseases. The characterization of metacognitive impairments in bvFTD and AD would be relevant for understanding patients' daily life changes in social behavior. (c) 2021 Elsevier Ltd. All rights reserved.</t>
  </si>
  <si>
    <t>Migeot, Joaquin/0000-0003-0647-5632; Garcia Cordero, Indira Ruth/0000-0001-9739-5018; Ibanez, Agustin/0000-0001-6758-5101</t>
  </si>
  <si>
    <t>10.1016/j.cortex.2020.12.023</t>
  </si>
  <si>
    <t>WOS:000637809000007</t>
  </si>
  <si>
    <t>Rivera, HA; Le Roux, JP; Farías, M; Gutiérrez, NM; Sánchez, A; Palma-Heldt, S</t>
  </si>
  <si>
    <t>Rivera, Huber A.; Le Roux, Jacobus P.; Farias, Marcelo; Gutierrez, Nestor M.; Sanchez, Alejandro; Palma-Heldt, Sylvia</t>
  </si>
  <si>
    <t>Tectonic controls on the Maastrichtian-Danian transgression in the Magallanes-Austral foreland basin (Chile): Implications for the growth of the Southern Patagonian Andes</t>
  </si>
  <si>
    <t>SEDIMENTARY GEOLOGY</t>
  </si>
  <si>
    <t>The Maastrichtian-Danian transgression was one of the most extensive Atlantic-derived marine incursions in Patagonia. This study examines its stratigraphic record and origin in the Magallanes-Austral Basin, revealing an interplay of sedimentation, tectonism, and base-level changes, which contribute to our understanding of foreland basin dynamics. We present a multidisciplinary approach from a relatively poorly documented sector (51 degrees 38'-53 degrees 50's) of the basin. This approach includes facies and provenance analysis, palynology, sequence stratigraphy, and U-Pb geochronology. These techniques enable us to evaluate the role of climate, tectonics, and eustasy on the transgression, as well as providing insight into the growth of the Southern Patagonian Andes. A first shallowing-upward cyde (late Campanian to late Maastrichtian) is represented by the transition from outer shelf and upper slope deposits (Fuentes and Tres Pasos formations) to shoreface and deltaic environments (Rocallosa and Dorotea formations), favoured by high erosion rates in the fold-thrust belt and eustatic sea-level drop. A subsequent deepening-upward cycle (late Maastrichtian to Paleocene) records the Atlantic transgression, manifested by estuarine deposits in an incised valley (uppermost Dorotea Formation) and deep-water turbidites (Chorrillo Chico Formation and Cabo Nariz beds). Palynological results suggest a temperate palaeoclimate (similar to 6-17 degrees C) during the Maastrichtian-Danian, which agrees with significant cooling of the South Atlantic Ocean at this time. Therefore, relative climatic optima are not a driver of marine ingression. The stratigraphic and tectonic evolution of the succession studied suggests that flexural and dynamic subsidence promoted marine incursion into the Magallanes-Austral Basin. Provenance data indicate sediment input to the basin from the Southern Patagonian Batholith, Rocas Verdes Basin remnants, Tobifera Formation, and metamorphic terranes exposed in the hinterland of the Southern Patagonian Andes during the early Maastrichtian. However, by the Paleocene, sediments derived from the hinterland had been structurally dammed during basinward propagation of the fold-thrust belt. (C) 2020 Elsevier B.V. All rights reserved.</t>
  </si>
  <si>
    <t>Le Roux, Jacobus/U-7085-2019; Farias, Marcelo/K-4588-2014; Le Roux, Jacobus/A-9765-2008</t>
  </si>
  <si>
    <t>Farias, Marcelo/0000-0002-3264-341X; Le Roux, Jacobus/0000-0003-0173-4471; Rivera Rosado, Huber Alberto/0000-0002-5098-0700</t>
  </si>
  <si>
    <t>0037-0738</t>
  </si>
  <si>
    <t>1879-0968</t>
  </si>
  <si>
    <t>JUN 15</t>
  </si>
  <si>
    <t>10.1016/j.sedgeo.2020.105645</t>
  </si>
  <si>
    <t>WOS:000536199100001</t>
  </si>
  <si>
    <t>Geitner, M; Sandoval, FA; Bertin, E; Bellon, L</t>
  </si>
  <si>
    <t>Geitner, Mickael; Aguilar Sandoval, Felipe; Bertin, Eric; Bellon, Ludovic</t>
  </si>
  <si>
    <t>Low thermal fluctuations in a system heated out of equilibrium</t>
  </si>
  <si>
    <t>PHYSICAL REVIEW E</t>
  </si>
  <si>
    <t>We study the mechanical fluctuations of a micrometer sized silicon cantilever subjected to a strong heat flow, thus having a highly nonuniform local temperature. In this nonequilibrium steady state, we show that fluctuations are equivalent to the thermal noise of a cantilever at equilibrium around room temperature, while its mean local temperature is several hundred degrees higher. Changing the mechanical dissipation by adding a coating to the cantilever, we recover the expected rise of fluctuations with the mean temperature. Our work demonstrates that inhomogeneous dissipation mechanisms can decouple the amplitude of thermal fluctuations from the average temperature. This property could be useful to understand out-of-equilibrium fluctuating systems, or to engineer low noise instruments.</t>
  </si>
  <si>
    <t>Sandoval, Felipe/G-7545-2015; Bertin, Eric/B-9902-2008; Bellon, Ludovic/B-5213-2008</t>
  </si>
  <si>
    <t>Bellon, Ludovic/0000-0002-2499-8106</t>
  </si>
  <si>
    <t>2470-0045</t>
  </si>
  <si>
    <t>2470-0053</t>
  </si>
  <si>
    <t>MAR 27</t>
  </si>
  <si>
    <t>10.1103/PhysRevE.95.032138</t>
  </si>
  <si>
    <t>WOS:000399147600001</t>
  </si>
  <si>
    <t>Oyarzún, S; Nandy, AK; Rortais, F; Rojas-Sánchez, JC; Dau, MT; Noël, P; Laczkowski, P; Pouget, S; Okuno, H; Vila, L; Vergnaud, C; Beigné, C; Marty, A; Attané, JP; Gambarelli, S; George, JM; Jaffrès, H; Blügel, S; Jamet, M</t>
  </si>
  <si>
    <t>Oyarzun, S.; Nandy, A. K.; Rortais, F.; Rojas-Sanchez, J. -C.; Dau, M. -T.; Noel, P.; Laczkowski, P.; Pouget, S.; Okuno, H.; Vila, L.; Vergnaud, C.; Beigne, C.; Marty, A.; Attane, J. -P.; Gambarelli, S.; George, J. -M.; Jaffres, H.; Bluegel, S.; Jamet, M.</t>
  </si>
  <si>
    <t>Evidence for spin-to-charge conversion by Rashba coupling in metallic states at the Fe/Ge(111) interface</t>
  </si>
  <si>
    <t>The spin-orbit coupling relating the electron spin and momentum allows for spin generation, detection and manipulation. It thus fulfils the three basic functions of the spin field-effect transistor. However, the spin Hall effect in bulk germanium is too weak to produce spin currents, whereas large Rashba effect at Ge(111) surfaces covered with heavy metals could generate spin-polarized currents. The Rashba spin splitting can actually be as large as hundreds of meV. Here we show a giant spin-to-charge conversion in metallic states at the Fe/Ge(111) interface due to the Rashba coupling. We generate very large charge currents by direct spin pumping into the interface states from 20 K to room temperature. The presence of these metallic states at the Fe/Ge(111) interface is demonstrated by first-principles electronic structure calculations. By this, we demonstrate how to take advantage of the spin-orbit coupling for the development of the spin field-effect transistor.</t>
  </si>
  <si>
    <t>JAFFRES, Henri/KBD-2984-2024; pouget, stephanie/H-8164-2014; marty, alain/H-7941-2014; Rojas-Sanchez, Juan-Carlos/N-9963-2015; Vila, Laurent/J-3467-2012; Oyarzun, Simon/M-1769-2014; Blugel, Stefan/J-8323-2013</t>
  </si>
  <si>
    <t>DAU, MINH TUAN/0000-0001-7375-299X; VERGNAUD, Celine/0000-0003-2728-4149; Attane, Jean-Philippe/0000-0001-6320-616X; Okuno, Hanako/0000-0002-7688-9526; Rojas-Sanchez, Juan-Carlos/0000-0001-7044-2785; Vila, Laurent/0000-0002-1171-2391; Oyarzun, Simon/0000-0002-8764-7944; Blugel, Stefan/0000-0001-9987-4733; Noel, Paul/0000-0002-8240-4206</t>
  </si>
  <si>
    <t>10.1038/ncomms13857</t>
  </si>
  <si>
    <t>WOS:000390173500001</t>
  </si>
  <si>
    <t>Flores, EIS; Dayyani, I; Ajaj, RM; Castro-Triguero, R; DiazDelaO, FA; Das, R; Soto, PG</t>
  </si>
  <si>
    <t>Saavedra Flores, E. I.; Dayyani, I.; Ajaj, R. M.; Castro-Triguero, R.; DiazDelaO, F. A.; Das, R.; Gonzalez Soto, P.</t>
  </si>
  <si>
    <t>Analysis of cross-laminated timber by computational homogenisation and experimental validation</t>
  </si>
  <si>
    <t>COMPOSITE STRUCTURES</t>
  </si>
  <si>
    <t>In this paper we investigate the mechanical behaviour of cross-laminated timber panels by a computational homogenisation approach. A finite element procedure is adopted within a multi-scale modelling framework to determine the constitutive response of timber. As some of the microstructural parameters of wood are either not well-known or susceptible to considerable variation, we introduce uncertainty in the definition of the material. In order to validate the present multi-scale model, we measure experimentally the longitudinal Young's modulus and density of sawn wood beams made of radiata pine. In addition, we carry out several experimental tests on cross-laminated timber panels subject to bending, shear and compression loads. Our numerical predictions are compared with the experiments and are validated successfully, revealing the potential predictive capabilities of the present multi-scale modelling for the analysis of wood materials and timber structures. (C) 2014 Elsevier Ltd. All rights reserved.</t>
  </si>
  <si>
    <t>Ajaj, Rafic/P-6314-2016; Flores, Erick/I-7646-2012; Castro Triguero, Rafael/C-2564-2019</t>
  </si>
  <si>
    <t>Das, Raj/0000-0001-9977-6201; Dayyani, Iman/0000-0001-8956-2090; Castro Triguero, Rafael/0000-0002-2937-1118</t>
  </si>
  <si>
    <t>0263-8223</t>
  </si>
  <si>
    <t>1879-1085</t>
  </si>
  <si>
    <t>10.1016/j.compstruct.2014.11.042</t>
  </si>
  <si>
    <t>WOS:000348085500037</t>
  </si>
  <si>
    <t>Solé, D; Rosário, NA; Sarinho, ES; Camelo-Nunes, IC; Barreto, BAP; Medeiros, ML; Franco, JM; Camargos, PA; Mallol, J; Gurgel, R; de Andrade, DM; Furlan, FP; Silva, AR; Cardozo, C; Andrade, C</t>
  </si>
  <si>
    <t>Sole, Dirceu; Rosario Filho, Nelson A.; Sarinho, Emanuel S.; Camelo-Nunes, Ines C.; Paes Barreto, Bruno A.; Medeiros, Mercia L.; Franco, Jackeline Motta; Camargos, Paulo A.; Mallol, Javier; Gurgel, Ricardo; de Andrade, Djanira M.; Furlan, Fernanda P.; Silva, Almerinda R.; Cardozo, Cristina; Andrade, Claudia</t>
  </si>
  <si>
    <t>Prevalence of asthma and allergic diseases in adolescents: nine-year follow-up study (2003-2012)</t>
  </si>
  <si>
    <t>JORNAL DE PEDIATRIA</t>
  </si>
  <si>
    <t>Objective: To determine the prevalence of symptoms of asthma, rhinitis, and atopic eczema in adolescents (AD; 13-14 years) living in seven Brazilian cities, by applying the standardized written questionnaire (WQ) of the International Study of Asthma and Allergies in Childhood (ISAAC), and to evaluate the time trend nine years after the last assessment of ISAAC phase 3 (ISP3). Methods: The ISAAC-WQ was answered by 20,099 AD from the Northern, Northeastern, Southeastern, and Southern Brazilian regions. Values obtained were compared to those observed in ISP3 using nonparametric (chi-squared or Fisher) tests, and the ratio of annual increment/decrement was established for each of the centers, according to the symptom assessed. Results: Considering the national data and comparing to values of ISP3, there was a decrease in the mean prevalence of active asthma (18.5% vs. 17.5%) and an increase in the frequency of severe asthma (4.5% vs. 4.7%) and physician-diagnosed asthma (14.3% vs. 17.6%). An increase in prevalence of rhinitis, rhinoconjunctivitis, and atopic eczema was also observed. Conclusions: The prevalence of asthma, rhinitis, and atopic eczema in Brazil was variable; higher prevalence values, especially of asthma and eczema, were observed in regions located closer to the Equator. (C) 2014 Sociedade Brasileira de Pediatria. Published by Elsevier Editora Ltda. All rights reserved.</t>
  </si>
  <si>
    <t>rosario, nelson/K-7205-2012; Gurgel, RQ/N-5105-2018; Solé, Dirceu/JAO-0340-2023; Barreto, Bruno/T-9252-2019</t>
  </si>
  <si>
    <t>Franco, Jackeline/0000-0003-3088-492X; Mallol, Javier/0000-0003-2528-8672</t>
  </si>
  <si>
    <t>0021-7557</t>
  </si>
  <si>
    <t>1678-4782</t>
  </si>
  <si>
    <t>JAN-FEB</t>
  </si>
  <si>
    <t>10.1016/j.jped.2014.05.002</t>
  </si>
  <si>
    <t>WOS:000350892300005</t>
  </si>
  <si>
    <t>Calderón, R; Palma, P; Parker, D; Molina, M; Godoy, FA; Escudey, M</t>
  </si>
  <si>
    <t>Calderon, R.; Palma, P.; Parker, D.; Molina, M.; Godoy, F. A.; Escudey, M.</t>
  </si>
  <si>
    <t>Perchlorate Levels in Soil and Waters from the Atacama Desert</t>
  </si>
  <si>
    <t>ARCHIVES OF ENVIRONMENTAL CONTAMINATION AND TOXICOLOGY</t>
  </si>
  <si>
    <t>Perchlorate is an anion that originates as a contaminant in ground and surface waters. The presence of perchlorate in soil and water samples from northern Chile (Atacama Desert) was investigated by ion chromatography-electrospray mass spectrometry. Results indicated that perchlorate was found in five of seven soils (cultivated and uncultivated) ranging from 290 +/- A 1 to 2,565 +/- A 2 mu g/kg. The greatest concentration of perchlorate was detected in Humberstone soil (2,565 +/- A 2 mu g/kg) associated with nitrate deposits. Perchlorate levels in Chilean soils are greater than those reported for uncultivated soils in the United States. Perchlorate was also found in superficial running water ranging from 744 +/- A 0.01 to 1,480 +/- A 0.02 mu g/L. Perchlorate water concentration is 30-60 times greater than levels established by the United States Environmental Protection Agency (24.5 mu g/L) for drinking.</t>
  </si>
  <si>
    <t>Godoy, Felix./D-8185-2013; Calderon, Raul/AAP-5930-2020; Godoy, Felix/B-7272-2018</t>
  </si>
  <si>
    <t>Calderon Araya, Raul Alexis/0000-0002-1094-9661; Godoy, Felix/0000-0002-7614-8023</t>
  </si>
  <si>
    <t>0090-4341</t>
  </si>
  <si>
    <t>1432-0703</t>
  </si>
  <si>
    <t>10.1007/s00244-013-9960-y</t>
  </si>
  <si>
    <t>WOS:000331546000001</t>
  </si>
  <si>
    <t>Pérez-Donoso, JM; Monrás, JP; Bravo, D; Aguirre, A; Quest, AF; Osorio-Román, IO; Aroca, RF; Chasteen, TG; Vásquez, CC</t>
  </si>
  <si>
    <t>Perez-Donoso, Jose M.; Monras, Juan P.; Bravo, Denisse; Aguirre, Adam; Quest, Andrew F.; Osorio-Roman, Igor O.; Aroca, Ricardo F.; Chasteen, Thomas G.; Vasquez, Claudio C.</t>
  </si>
  <si>
    <t>Biomimetic, Mild Chemical Synthesis of CdTe-GSH Quantum Dots with Improved Biocompatibility</t>
  </si>
  <si>
    <t>Multiple applications of nanotechnology, especially those involving highly fluorescent nanoparticles (NPs) or quantum dots (QDs) have stimulated the research to develop simple, rapid and environmentally friendly protocols for synthesizing NPs exhibiting novel properties and increased biocompatibility. In this study, a simple protocol for the chemical synthesis of glutathione (GSH)-capped CdTe QDs (CdTe-GSH) resembling conditions found in biological systems is described. Using only CdCl2, K2TeO3 and GSH, highly fluorescent QDs were obtained under pH, temperature, buffer and oxygen conditions that allow microorganisms growth. These CdTe-GSH NPs displayed similar size, chemical composition, absorbance and fluorescence spectra and quantum yields as QDs synthesized using more complicated and expensive methods. CdTe QDs were not freely incorporated into eukaryotic cells thus favoring their biocompatibility and potential applications in biomedicine. In addition, NPs entry was facilitated by lipofectamine, resulting in intracellular fluorescence and a slight increase in cell death by necrosis. Toxicity of the as prepared CdTe QDs was lower than that observed with QDs produced by other chemical methods, probably as consequence of decreased levels of Cd+2 and higher amounts of GSH. We present here the simplest, fast and economical method for CdTe QDs synthesis described to date. Also, this biomimetic protocol favors NPs biocompatibility and helps to establish the basis for the development of new, greener methods to synthesize cadmium-containing QDs.</t>
  </si>
  <si>
    <t>Osorio, Igor/AEX-9230-2022; Chasteen, Thomas/B-6601-2009; Perez-Donoso, Jose/G-3668-2013</t>
  </si>
  <si>
    <t>Perez-Donoso, Jose/0000-0002-9506-1716; Aguirre, Adam/0000-0002-0585-7340; Osorio-Roman, Igor/0000-0001-7502-8698</t>
  </si>
  <si>
    <t>JAN 23</t>
  </si>
  <si>
    <t>e30741</t>
  </si>
  <si>
    <t>10.1371/journal.pone.0030741</t>
  </si>
  <si>
    <t>WOS:000301570600074</t>
  </si>
  <si>
    <t>Davidovitch, B; Schroll, RD; Vella, D; Adda-Bedia, M; Cerda, EA</t>
  </si>
  <si>
    <t>Davidovitch, Benny; Schroll, Robert D.; Vella, Dominic; Adda-Bedia, Mokhtar; Cerda, Enrique A.</t>
  </si>
  <si>
    <t>Prototypical model for tensional wrinkling in thin sheets</t>
  </si>
  <si>
    <t>PROCEEDINGS OF THE NATIONAL ACADEMY OF SCIENCES OF THE UNITED STATES OF AMERICA</t>
  </si>
  <si>
    <t>The buckling and wrinkling of thin films has recently seen a surge of interest among physicists, biologists, mathematicians, and engineers. This activity has been triggered by the growing interest in developing technologies at ever-decreasing scales and the resulting necessity to control the mechanics of tiny structures, as well as by the realization that morphogenetic processes, such as the tissue-shaping instabilities occurring in animal epithelia or plant leaves, often emerge from mechanical instabilities of cell sheets. Although the most basic buckling instability of uniaxially compressed plates was understood by Euler more than two centuries ago, recent experiments on nanometrically thin (ultrathin) films have shown significant deviations from predictions of standard buckling theory. Motivated by this puzzle, we introduce here a theoretical model that allows for a systematic analysis of wrinkling in sheets far from their instability threshold. We focus on the simplest extension of Euler buckling that exhibits wrinkles of finite length-a sheet under axisymmetric tensile loads. The first study of this geometry, which is attributed to Lame, allows us to construct a phase diagram that demonstrates the dramatic variation of wrinkling patterns from near-threshold to far-from-threshold conditions. Theoretical arguments and comparison to experiments show that the thinner the sheet is, the smaller is the compressive load above which the far-from-threshold regime emerges. This observation emphasizes the relevance of our analysis for nanomechanics applications.</t>
  </si>
  <si>
    <t>Mokhtar, Adda-Bedia/K-4195-2019; Vella, Dominic/A-9070-2008</t>
  </si>
  <si>
    <t>Vella, Dominic/0000-0003-1341-8863; Adda-Bedia, Mokhtar/0000-0003-0584-8046</t>
  </si>
  <si>
    <t>0027-8424</t>
  </si>
  <si>
    <t>NOV 8</t>
  </si>
  <si>
    <t>10.1073/pnas.1108553108</t>
  </si>
  <si>
    <t>WOS:000296700000021</t>
  </si>
  <si>
    <t>Garcia-Calavaro, C; Paternina-Caicedo, A; Smith, AD; Harrison, LH; de la Hoz-restrepo, F; Acosta, E; Riffe, T</t>
  </si>
  <si>
    <t>Garcia-Calavaro, Christian; Paternina-Caicedo, Angel; Smith, Adrian D.; Harrison, Lee H.; de la Hoz-restrepo, Fernando; Acosta, Enrique; Riffe, Tim</t>
  </si>
  <si>
    <t>COVID-19 mortality needs age adjusting for international comparisons</t>
  </si>
  <si>
    <t>JOURNAL OF MEDICAL VIROLOGY</t>
  </si>
  <si>
    <t>Riffe, Timothy/AAA-5188-2020; Garcia, Christian/KLY-8785-2024; Acosta, Enrique/ABA-6537-2020; Smith, Adrian/A-6336-2009; Paternina-Caicedo, Angel/N-4496-2015</t>
  </si>
  <si>
    <t>DE LA HOZ RESTREPO, FERNANDO/0000-0001-9436-7935; Smith, Adrian/0000-0003-0036-1490; Acosta, Enrique/0000-0001-6250-4018; Paternina-Caicedo, Angel/0000-0002-6332-5174; Garcia, Christian/0000-0001-9010-2614</t>
  </si>
  <si>
    <t>0146-6615</t>
  </si>
  <si>
    <t>1096-9071</t>
  </si>
  <si>
    <t>10.1002/jmv.27007</t>
  </si>
  <si>
    <t>WOS:000642550500001</t>
  </si>
  <si>
    <t>Suazo-Hernández, J; Sepúlveda, P; Manquián-Cerda, K; Ramírez-Tagle, R; Rubio, MA; Bolan, N; Sarkar, B; Arancibia-Miranda, N</t>
  </si>
  <si>
    <t>Suazo-Hernandez, Jonathan; Sepulveda, Pamela; Manquian-Cerda, Karen; Ramirez-Tagle, Rodrigo; Angelica Rubio, Maria; Bolan, Nanthi; Sarkar, Binoy; Arancibia-Miranda, Nicolas</t>
  </si>
  <si>
    <t>Synthesis and characterization of zeolite-based composites functionalized with nanoscale zero-valent iron for removing arsenic in the presence of selenium from water</t>
  </si>
  <si>
    <t>We studied the sorption of As(V) in single and multi-component (As(V)-Se(VI)) aqueous systems using nanoscale zero-valent iron (nZVI) and nZVI-functionalized zeolite (Z-nZVI) adsorbents. Morphological and physicochemical characterization of the adsorbents was conducted using X-ray diffraction (XRD), scanning electron microscopy (SEM), surface area and electrophoretic mobility measurements. SEM and XRD analyses showed that Fe-nanoparticle size and crystallinity were better preserved in Z-nZVI than nZVI after As(V) sorption. Highly efficient As(V) removal was achieved for all tested adsorbents with a minimal competition effect of Se(VI). In the single-component system, the equilibrium As(V) sorption time on nZVI and Z-nZVI was 40 and 60 min, respectively, while in the multi-component system, this time was 90 min for both the adsorbents. The Freundlich and pseudo-second-order models provided good fittings for the experimental sorption data (r(2) &gt; 0.96). The As (V) removal capacity was higher using Z-nZVI than nZVI both in the single and multi-component systems, suffering minimal differences in removal in both cases. The results suggested that Z-nZVI had more specific surface sites for As(V) than nZVI and zeolite, which makes Z-nZVI a more effective adsorbent than nZVI for the removal of As(V) from aqueous solutions in the presence of other oxyanions.</t>
  </si>
  <si>
    <t>HERNANDEZ, JONATHAN/AAN-9953-2021; Sarkar, Binoy/A-5187-2019; Arancibia-Miranda, Nicolás/I-6743-2013; Bajo, Maria/ABF-6991-2020; Ramirez, Rodrigo/L-3519-2017; Sepulvedaor, Pamela/GRO-3516-2022; Sarkar, Binoy/D-1573-2011; Bolan, Nanthi/E-8535-2011</t>
  </si>
  <si>
    <t>Sarkar, Binoy/0000-0002-4196-1225; Arancibia-Miranda, Nicolas/0000-0002-0142-6922; SUAZO HERNANDEZ, JONATHAN MARCELO/0000-0003-2417-3494; Bolan, Nanthi/0000-0003-2056-1692; Ramirez Tagle, Rodrigo/0000-0003-0694-1808</t>
  </si>
  <si>
    <t>JUL 5</t>
  </si>
  <si>
    <t>10.1016/j.jhazmat.2019.03.125</t>
  </si>
  <si>
    <t>WOS:000472691800086</t>
  </si>
  <si>
    <t>Wlodarczyk, A; Basabe, N; Páez, D; Reyes, C; Villagrán, L; Madariaga, C; Palacio, J; Martinez, F</t>
  </si>
  <si>
    <t>Wlodarczyk, Anna; Basabe, Nekane; Paez, Dario; Reyes, Carlos; Villagran, Loreto; Madariaga, Camilo; Palacio, Jorge; Martinez, Francisco</t>
  </si>
  <si>
    <t>Communal Coping and Posttraumatic Growth in a Context of Natural Disasters in Spain, Chile, and Colombia</t>
  </si>
  <si>
    <t>CROSS-CULTURAL RESEARCH</t>
  </si>
  <si>
    <t>The aim of this study was to identify communal coping strategies that enhance posttraumatic growth of individuals, communities, and societies in the context of natural disasters. Participants were 540 people affected by floods in Colombia and by earthquakes in Spain and Chile. Posttraumatic growth was assessed at individual, community, and society levels. Direct and indirect relationships between trauma intensity and posttraumatic growth were analyzed to identify and evaluate the mediating role played by communal coping strategies. Growth and communal coping were reported in all nations, but means for posttraumatic growth at all three levels and communal coping were higher in the relatively more collectivistic countries, Colombia and Chile, than in the relatively more individualistic Spain. Spiritual coping was more frequent in the two Latin American nations, but it also predicted growth even in more secularized Spain. Social support was similar in Spain and Chile, and higher in Colombia, and played a more important mediating role in Spain. Globally, our results confirmed that communal coping strategies and participation in collective gatherings are antecedent of posttraumatic growth not only at individual but also at communal level and in different cultural contexts.</t>
  </si>
  <si>
    <t>Wlodarczyk, Anna/HHC-3887-2022; GARAY, CARLOS/A-1816-2014; basabe, nekane/D-3918-2011; Palacio Sanudo, Jorge Enrique/A-9642-2010; Martinez-Sanchez, Francisco/B-6946-2013; Paez, Dario/D-5207-2009; Wlodarczyk, Anna/K-4968-2014; Madariaga Orozco, Camilo Alberto/F-4291-2012</t>
  </si>
  <si>
    <t>Palacio Sanudo, Jorge Enrique/0000-0001-6971-7067; Martinez-Sanchez, Francisco/0000-0003-4645-0333; Paez, Dario/0000-0002-8459-6037; Wlodarczyk, Anna/0000-0003-2106-5324; Madariaga Orozco, Camilo Alberto/0000-0001-7071-0735</t>
  </si>
  <si>
    <t>1069-3971</t>
  </si>
  <si>
    <t>1552-3578</t>
  </si>
  <si>
    <t>10.1177/1069397116663857</t>
  </si>
  <si>
    <t>WOS:000382994500002</t>
  </si>
  <si>
    <t>Hermosilla-Ibáñez, P; Costamagna, J; Vega, A; Paredes-García, V; Garland, MT; Le Fur, E; Spodine, E; Venegas-Yazigi, D</t>
  </si>
  <si>
    <t>Hermosilla-Ibanez, P.; Costamagna, J.; Vega, A.; Paredes-Garcia, V.; Garland, M. T.; Le Fur, E.; Spodine, E.; Venegas-Yazigi, D.</t>
  </si>
  <si>
    <t>Protonated diamines as linkers in the supramolecular assemblies based on the [V12B18O60H6] polyoxovanadoborate anion</t>
  </si>
  <si>
    <t>JOURNAL OF STRUCTURAL CHEMISTRY</t>
  </si>
  <si>
    <t>Two new polyoxovanadoborates based crystalline lattices are being reported: K-5(H3O)(2)(1,3-diapH(2))(2)[V12B18O60H6]center dot 10.80H(2)O (1), and K-2(H3O)(7)(enH(2))[V12B18O60H6]center dot 9H(2)O (2). These structures are characterized by presenting multiple hydrogen bonds between the diprotonated diamines (enH(2) and 1,3-diapH(2)) and hydronium ions, and the oxygen atoms of the [V12B18O60H6] cluster. The crystalline packing and stability of these new polyoxovanadoborates is dominated by the different types of hydrogen interactions present in the lattices ranging from unidirectional to trifurcated ones. The crystallographic data, together with the BVS method, permit to assign a mixed valence ratios for the [V12B18O60H6] anionic cluster for (1) and (2) being 11/1 (V-IV/V-V) ratio.</t>
  </si>
  <si>
    <t>Paredes-Garcia, Veronica/C-4415-2011; Vega, Andres/B-2122-2010; Venegas-Yazigi, Diego/C-5022-2009; Hermosilla-Ibanez, Patricio/Y-7454-2018</t>
  </si>
  <si>
    <t>Venegas-Yazigi, Diego/0000-0001-7816-2841; Hermosilla-Ibanez, Patricio/0000-0002-2272-9690; Vega, Andres/0000-0001-6501-4161</t>
  </si>
  <si>
    <t>0022-4766</t>
  </si>
  <si>
    <t>1573-8779</t>
  </si>
  <si>
    <t>10.1134/S0022476614080125</t>
  </si>
  <si>
    <t>WOS:000348920200005</t>
  </si>
  <si>
    <t>Paredes-Garcia, V; Cruz, C; Toledo, N; Denardin, J; Venegas-Yazigi, D; Castillo, C; Spodine, E; Luo, ZP</t>
  </si>
  <si>
    <t>Paredes-Garcia, Veronica; Cruz, Carlos; Toledo, Nestor; Denardin, Juliano; Venegas-Yazigi, Diego; Castillo, Carolina; Spodine, Evgenia; Luo, Zhiping</t>
  </si>
  <si>
    <t>Effect of the different synthetic parameters on the morphology and magnetic properties of nickel nanoparticles</t>
  </si>
  <si>
    <t>NEW JOURNAL OF CHEMISTRY</t>
  </si>
  <si>
    <t>Coated stable metallic nickel nanocrystals (fcc-Ni) forming micro-and nanoaggregates with different morphologies have been synthesized through a one-pot Ni-II reduction process in the presence of L-serine (Ni-1 to Ni-5). The subsequent warming under solvothermal conditions of the spherical nickel particles (Ni-1) with ethylene glycol (EG) modifies the morphology of the initial spheres to hexagonal-quasi circular plates, which are disposed as a 3D arrangement (Ni-4). Electron microscopy images indicate that the size of these aggregates is 2 mu m, the thickness of the plates being ca. 110-200 nm. The magnetic measurement results for Ni-4 show a ferromagnetic behaviour with both enhanced coercivity (92 Oe) and magnetic remanence (7 emu g(-1)), and lower magnetic saturation (43 emu g(-1)), as compared with bulk nickel. The enhancement of the ferromagnetic properties observed for all the studied NPs is attributed to their dependence on the shape anisotropy and dipolar interactions.</t>
  </si>
  <si>
    <t>Cruz, Carlos/KIG-8993-2024; Denardin, Juliano/S-6407-2019; Luo, Zhiping/C-4435-2014; Paredes-Garcia, Veronica/C-4415-2011; Venegas-Yazigi, Diego/C-5022-2009</t>
  </si>
  <si>
    <t>Cruz Herrera, Carlos/0000-0002-2644-4297; Venegas-Yazigi, Diego/0000-0001-7816-2841; Denardin, Juliano/0000-0002-1373-6207</t>
  </si>
  <si>
    <t>1144-0546</t>
  </si>
  <si>
    <t>1369-9261</t>
  </si>
  <si>
    <t>10.1039/c3nj01040f</t>
  </si>
  <si>
    <t>WOS:000330043700052</t>
  </si>
  <si>
    <t>Martínez, P; Gloger, S; de Medina, DD; González, A; Carrasco, M; Vöhringer, PA</t>
  </si>
  <si>
    <t>Martinez, Pablo; Gloger, Sergio; Diez de Medina, Dante; Gonzalez, Arantza; Carrasco, Maria, I; Vohringer, Paul A.</t>
  </si>
  <si>
    <t>Systematic review of treatment alternatives for depressed adults with early adverse stress</t>
  </si>
  <si>
    <t>Background: Early adverse stress is a risk factor for the appearance of mental health ailments during adulthood. Aim: To systematically review treatment outcomes on mental health symptoms and functional domains, and of interventions aimed at treating adults with depressive disorders and early adverse stress (EAS). Material and Methods: Systematic review and meta-analysis including experimental and quasi-experimental published studies indexed in the CINAHL, EMBASE, PubMed, and Web of Science databases, which explored the effectiveness of treatment interventions for depressive disorders in adults exposed to EAS. Data on outcomes was extracted from the included studies. A narrative, qualitative approach or a quality-effects model for meta-analysis were used for synthesizing these data. Results: Thirteen studies were included. Psychological or combined treatment interventions for depression in adults exposed to EAS may be effective in reducing trauma-related symptoms and social dysfunction in the short- and mid-term, with small effect size and without substantive heterogeneity. The assessment of anxiety symptoms and health-related quality of life yielded mixed results. Conclusions: Despite the ubiquity of EA S and its adverse and long-lasting consequences for well-being and health, treatment alternatives are scant. This review suggests that there are treatment interventions for depression in adults exposed to EAS that may achieve integral mental health benefits, alleviating its impact on various symptoms and functional domains, when EAS is explicitly considered in the treatment intervention.</t>
  </si>
  <si>
    <t>Martínez, Pablo/LZF-5853-2025; Vohringer, Paul A/B-5860-2013</t>
  </si>
  <si>
    <t>Vohringer, Paul A/0000-0002-2460-4680</t>
  </si>
  <si>
    <t>WOS:000770198800010</t>
  </si>
  <si>
    <t>Alvarez, S; Filimonov, D; Kleptsyn, V; Malicet, D; Cotón, CM; Navas, A; Triestino, M</t>
  </si>
  <si>
    <t>Alvarez, Sebastien; Filimonov, Dmitry; Kleptsyn, Victor; Malicet, Dominique; Coton, Carlos Menino; Navas, Andres; Triestino, Michele</t>
  </si>
  <si>
    <t>Groups with infinitely many ends acting analytically on the circle</t>
  </si>
  <si>
    <t>JOURNAL OF TOPOLOGY</t>
  </si>
  <si>
    <t>This article is inspired by two milestones in the study of non-minimal group actions on the circle: Duminy's theorem about the number of ends of semi-exceptional leaves, and Ghys' freeness result in real-analytic regularity. Our first result concerns groups of real-analytic diffeomorphisms with infinitely many ends: if the action is non-expanding, then the group is virtually free. The second result is a Duminy type theorem for minimal codimension-one foliations: either non-expandable leaves have infinitely many ends, or the holonomy pseudogroup preserves a projective structure.</t>
  </si>
  <si>
    <t>Filimonov, Dmitry/F-4463-2017; Cotón, Carlos/AAB-6866-2020; Triestino, Michele/AAB-7691-2020; Filimonov, Dmitry/K-2592-2015; Menino Coton, Carlos/J-9348-2014</t>
  </si>
  <si>
    <t>Filimonov, Dmitry/0000-0002-2984-7243; Menino Coton, Carlos/0000-0002-2325-5079; Navas Flores, Andres Ignacio/0000-0002-0853-5136</t>
  </si>
  <si>
    <t>1753-8416</t>
  </si>
  <si>
    <t>1753-8424</t>
  </si>
  <si>
    <t>10.1112/topo.12118</t>
  </si>
  <si>
    <t>WOS:000512607800009</t>
  </si>
  <si>
    <t>Shobana, M; Raguram, T; Eswaramoorthy, N; Cárdenas-Jirón, G; Granados-Tavera, K; Alodhayb, AN; Alzahrani, KE; Pandiaraj, S; Geethapriya, J; Chethan, YR</t>
  </si>
  <si>
    <t>Shobana, M.; Raguram, T.; Eswaramoorthy, Nandhakumar; Cardenas-Jiron, Gloria; Granados-Tavera, Kevin; Alodhayb, Abdullah N.; Alzahrani, Khalid E.; Pandiaraj, Saravanan; Geethapriya, J.; Chethan, Y. R.</t>
  </si>
  <si>
    <t>Influence of Gd doping on the structural, optical, dielectric, and magnetic properties of ZnFe2O4: A combined experimental and theoretical study</t>
  </si>
  <si>
    <t>CERAMICS INTERNATIONAL</t>
  </si>
  <si>
    <t>In the present work, gadolinium (Gd) doping on ZnFe2O4 nanoparticles and analysing its structural, optical, dielectric and magnetic properties synthesized via a co-precipitation method. From structural analysis, it confirms that prepared nanoparticles are cubic spinel structure and reduced crystallite size which indicates lattice distortion. The synthesized nanoparticles are spherical shape morphology with agglomerated from FESEM and HR TEM analysis. From SAED pattern confirms that the nanoparticles are polycrystalline in nature and corresponding d-spacing's values are calculated. The optical band gap values are ranging from 1.96 to 2.15 eV with varying Gd concentration, suggesting potential applications in optoelectronics. The elements such as Gd, Zn, Fe and O are presented in the prepared samples confirmed via EDS analysis which ensuring the purity of the samples. Magnetic studies revealed a shift from paramagnetic behavior at lower Gd concentrations to ferrocanting at higher levels, further supported by density functional theory (DFT) calculations, which showed enhanced magnetic moments in Fe atoms due to Gd substitution. Dielectric analysis indicated a decrease in dielectric properties with temperature, though a slight increase is observed with increased Gd concentration. These findings suggest that Gd-doped ZnFe2O4 nanoparticles possess tunable properties, making them promising candidates for applications in energy, environmental, and advanced magnetic technologies.</t>
  </si>
  <si>
    <t>Eswaramoorthy, Nandhakumar/IAM-6074-2023; Alzahrani, Khalid/ABD-2678-2020; Alodhayb, Abdullah/GQQ-6917-2022</t>
  </si>
  <si>
    <t>Granados-Tavera, Kevin/0000-0002-7585-4022; Alzahrani, Khalid/0000-0001-6857-7509</t>
  </si>
  <si>
    <t>0272-8842</t>
  </si>
  <si>
    <t>1873-3956</t>
  </si>
  <si>
    <t>10.1016/j.ceramint.2024.12.119</t>
  </si>
  <si>
    <t>FEB 2025</t>
  </si>
  <si>
    <t>WOS:001423830900001</t>
  </si>
  <si>
    <t>Vidal, CP; Muñoz-Shuguli, C; Guivier, M; Puglia, D; Luzi, F; Rojas, A; Velásquez, E; Galotto, MJ; Lopez-de-Dicastillo, C</t>
  </si>
  <si>
    <t>Vidal, Cristian Patino; Munoz-Shuguli, Cristina; Guivier, Manon; Puglia, Debora; Luzi, Francesca; Rojas, Adrian; Velasquez, Eliezer; Galotto, Maria Jose; Lopez-de-Dicastillo, Carol</t>
  </si>
  <si>
    <t>PLA- and PHA-Biopolyester-Based Electrospun Materials: Development, Legislation, and Food Packaging Applications</t>
  </si>
  <si>
    <t>The high accumulation of plastic waste in the environment has led to great interest in biodegradable polymers, such as polylactic acid (PLA) or polyhydroxyalkanoates (PHAs). Their benefits, combined with the application of electrospinning technology, represent an innovative proposal for the food packaging industry. This article provides a comprehensive review of the latest developments of PLA- and PHA-biopolyester-based electrospun materials for food packaging applications, summarizing the reported technologies, material properties, applications, and invention patents. In addition, the legislation used to assess their biodegradability is also detailed. Electrospun packaging materials are largely developed through uniaxial, coaxial, emulsion, multiaxial, and needleless techniques. PLA- and PHA-biopolyester-based electrospun materials can be obtained as single and multilayer packaging structures, and the incorporation of natural extracts, organic compounds, and nanoparticles has become a great strategy for designing active food packaging systems. The biodegradability of electrospun materials has mainly been evaluated in soil, compost, and aquatic systems through ASTM and ISO normatives. In this review, the dependence of the biodegradation process on the polymer type, conditions, and test methods is clearly reviewed. Moreover, these biodegradable electrospun materials have shown excellent antioxidant and antimicrobial properties, resulting in a great method for extending the shelf life of fruits, bread, fish, and meat products.</t>
  </si>
  <si>
    <t>Luzi, Francesca/T-3916-2019; Rojas, Adrián/AAR-9441-2021; Muñoz-Shugulí, Cristina/AAO-4231-2020; Patiño Vidal, Cristian Javier/JDM-7961-2023; Lopez-de-Dicastillo, Carol/C-6347-2019; PUGLIA, DEBORA/G-8338-2011</t>
  </si>
  <si>
    <t>Rojas, Adrian/0000-0001-9253-1295; VELASQUEZ, ELIEZER/0000-0001-8858-8926; Patino Vidal, Cristian Javier/0000-0002-5633-6908; Munoz Shuguli, Cristina Alejandra/0000-0003-0052-7411; Lopez-de-Dicastillo, Carol/0000-0003-0067-9765; Luzi, Francesca/0000-0001-8785-5033; PUGLIA, DEBORA/0000-0001-8515-7813</t>
  </si>
  <si>
    <t>10.3390/molecules29225452</t>
  </si>
  <si>
    <t>WOS:001365611900001</t>
  </si>
  <si>
    <t>Araya, M; Villarreal, P; Moyano, T; Santos, ARO; Díaz, FP; Bustos-Jarufe, A; Urbina, K; del Pino, JE; Groenewald, M; Gutiérrez, RA; Rosa, CA; Cubillos, FA</t>
  </si>
  <si>
    <t>Araya, Macarena; Villarreal, Pablo; Moyano, Tomas; Santos, Ana R. O.; Diaz, Francisca P.; Bustos-Jarufe, Andrea; Urbina, Kamila; del Pino, Javier E.; Groenewald, Marizeth; Gutierrez, Rodrigo A.; Rosa, Carlos A.; Cubillos, Francisco A.</t>
  </si>
  <si>
    <t>Nakazawaea atacamensis f.a., sp. nov. a novel nonconventional fermentative ascomycetous yeast species from the Atacama Desert</t>
  </si>
  <si>
    <t>In this study, we describe Nakazawaea atacamensis f. a., sp. nov., a novel species obtained from Neltuma chilensis plant samples in Chile's hyperarid Atacama Desert. In total, three strains of N. atacamensis were obtained from independent N. chilensis samples (synonym Prosopis chilensis, Algarrobo). Two strains were obtained from bark samples, while the third strain was obtained from bark-exuded gum from another tree. The novel species was defined using molecular characteristics and subsequently characterized with respect to morphological, physiological, and biochemical properties. A neighbor-joining analysis using the sequences of the D1/D2 domains of the large subunit ribosomal RNA gene revealed that N. atacamensis clustered with Nakazawaea pomicola. The sequence of N. atacamensis differed from closely related species by 1.3%-5.2% in the D1/D2 domains. A phylogenomic analysis based on single-nucleotide polymorphism's data confirms that the novel species belongs to the genus Nakazawaea, where N. atacamensis clustered with N. peltata. Phenotypic comparisons demonstrated that N. atacamensis exhibited distinct carbon assimilation patterns compared to its related species. Genome sequencing of the strain ATA-11A-BT revealed a genome size of approximately 12.4 Mbp, similar to other Nakazawaea species, with 5116 protein-coding genes annotated using InterProScan. In addition, N. atacamensis exhibited the capacity to ferment synthetic wine must, representing a potential new yeast for mono or co-culture wine fermentations. This comprehensive study expands our understanding of the genus Nakazawaea and highlights the ecological and industrial potential of N. atacamensis in fermentation processes. The holotype of N. atacamensis sp. nov. is CBS 18375T. The Mycobank number is MB 849680.</t>
  </si>
  <si>
    <t>Cubillos, Francisco/MIT-2389-2025; Diaz, Francisca P./ABC-5799-2021; Gutierrez, Rodrigo/ABA-9285-2020; Groenewald, Marizeth/G-4976-2012; Cubillos, Francisco/G-5195-2019</t>
  </si>
  <si>
    <t>Bustos Jarufe, Andrea/0009-0000-8255-918X; Groenewald, Marizeth/0000-0003-0835-5925; Cubillos, Francisco/0000-0003-3022-469X; Rosa, Carlos/0000-0002-0056-9075; Diaz, Francisca P/0000-0002-1100-7801</t>
  </si>
  <si>
    <t>10.1002/yea.3920</t>
  </si>
  <si>
    <t>WOS:001135328600001</t>
  </si>
  <si>
    <t>Guan, XH; Sarma, AP; Hamesh, EK; Yang, JY; Nguyen, N; Cerda, E; Pocivavsek, L; Velankar, SS</t>
  </si>
  <si>
    <t>Guan, Xianheng; Sarma, Anantha P.; Hamesh, Eashwaren Kakarla; Yang, Junyu; Nguyen, Nhung; Cerda, Enrique; Pocivavsek, Luka; Velankar, Sachin S.</t>
  </si>
  <si>
    <t>Compression-induced buckling of thin films bonded to viscous substrates: Uniform wrinkles vs localized ridges</t>
  </si>
  <si>
    <t>INTERNATIONAL JOURNAL OF SOLIDS AND STRUCTURES</t>
  </si>
  <si>
    <t>We examine the buckling of a thin elastic film bonded to a much thicker viscous substrate undergoing compression at a fixed rate. Experiments show two distinct buckling modes. At high rate of compression or at large liquid thickness, the buckles take on the form of approximately-sinusoidal wrinkles. At low rate of compression or at small liquid thickness, the buckles are highly localized into tall ridges separated nearly flat regions. Ridge growth is accompanied by lateral motion of the film in the near-ridge region, and the liquid in that region undergoes severe shear flow. Such ridge formation is entirely distinct from other examples of curvature localization such as fold localization of films on liquids in static equilibrium or ridge formation of films bonded to hyperelastic substrates. We quantify how the two lengthscales that arise from the buckling process, the wrinkle amplitude and the interridge distance, depend on compression rate and liquid thickness. We show that wrinkles formed during compression can also transform into ridges under quiescent conditions which suggests that buckle localization reduces bending energy of the film. We speculate that ridge localization appears due to a compe-tition between two effects: a buckle mode with a few well-spaced ridges offers a lower energy state than uniform wrinkles, but wrinkles can develop faster because they require the viscous fluid to move over shorter distances.</t>
  </si>
  <si>
    <t>Nguyen, Nhung/U-2978-2018</t>
  </si>
  <si>
    <t>Nguyen, Nhung/0000-0002-5585-0956; Velankar, Sachin/0000-0001-7541-1355</t>
  </si>
  <si>
    <t>0020-7683</t>
  </si>
  <si>
    <t>1879-2146</t>
  </si>
  <si>
    <t>NOV 1</t>
  </si>
  <si>
    <t>10.1016/j.ijsolstr.2022.111843</t>
  </si>
  <si>
    <t>AUG 2022</t>
  </si>
  <si>
    <t>WOS:000877377800010</t>
  </si>
  <si>
    <t>Levín, P; Ruiz, MC; Romo, AIB; Nascimento, OR; Di Virgilio, AL; Oliver, AG; Ayala, AP; Diógenes, ICN; León, IE; Lemus, L</t>
  </si>
  <si>
    <t>Levin, Pedro; Ruiz, Maria C.; Romo, Adolfo I. B.; Nascimento, Otaciro R.; Di Virgilio, Ana L.; Oliver, Allen G.; Ayala, Alejandro P.; Diogenes, Izaura C. N.; Leon, Ignacio E.; Lemus, Luis</t>
  </si>
  <si>
    <t>Water-mediated reduction of [Cu(dmp)2(CH3CN)]2+: implications of the structure of a classical complex on its activity as an anticancer drug</t>
  </si>
  <si>
    <t>INORGANIC CHEMISTRY FRONTIERS</t>
  </si>
  <si>
    <t>The interplay between coordination geometry and reactivity in copper complexes has been widely studied for years. For Cu-II, it is known that the reduction is favored when the geometry is closer to that of the Cu-I state, which is mainly tetrahedral. Conversely, the reduction of Cu-II complexes in the absence of exogenous reducers has been barely addressed. Herein, we report on the ability of a classic Cu-II complex to be partially reduced in acetonitrile solutions containing water, in the absence of external reducers. The role of the structure on the spontaneous reduction is presented by contrasting the geometric features with a related complex, [Cu(phen)(2)(CH3CN)](2+), which is inert towards the redox process mediated by water. The participation of water in the reduction of [Cu(dmp)(2)(CH3CN)](2+) is associated with the production of hydroxyl radicals. This, prompted us to evaluate the use of [Cu(dmp)(2)(CH3CN)](2+) as an anticancer metallodrug, showing an activity stronger than that of [Cu(phen)(2)(CH3CN)](2+) on 2D and 3D models of bone, lung, and breast cancer cell lines. Furthermore, both complexes are more active than cisplatin. The main mechanism of action is the intracellular ROS generation, with a higher production of cytotoxic species by [Cu(dmp)(2)(CH3CN)](2+). Certainly, the performance of [Cu(dmp)(2)(CH3CN)](2+) as an anticancer agent and its reactivity in the solution phase are connected through the geometrical constraints imparted by the dmp ligands.</t>
  </si>
  <si>
    <t>leon, i/GZL-2093-2022; Diogenes, Izaura/H-6156-2012; Levín, Pedro/ABG-4500-2020; Romo, Adolfo/ABH-1261-2020; Nascimento, Otaciro/F-2794-2019; Ayala, Alejandro Pedro/A-7518-2008</t>
  </si>
  <si>
    <t>leon, ignacio/0000-0003-1010-3997; Barros Romo, Adolfo Ignacio/0000-0002-9288-2420; Ayala, Alejandro Pedro/0000-0002-9247-6780; LEMUS, LUIS/0000-0002-5499-8115; Levin, Pedro/0000-0001-5932-9001</t>
  </si>
  <si>
    <t>2052-1553</t>
  </si>
  <si>
    <t>JUL 7</t>
  </si>
  <si>
    <t>10.1039/d1qi00233c</t>
  </si>
  <si>
    <t>MAY 2021</t>
  </si>
  <si>
    <t>WOS:000653082500001</t>
  </si>
  <si>
    <t>Brache, V; Sitruk-Ware, R; Williams, A; Blithe, D; Croxatto, H; Kumar, N; Kumar, S; Tsong, YY; Sivin, I; Nath, A; Sussman, H; Cochon, L; Miranda, MJ; Reyes, V; Faundes, A; Mishell, D</t>
  </si>
  <si>
    <t>Brache, Vivian; Sitruk-Ware, Regine; Williams, Alistair; Blithe, Diana; Croxatto, Horacio; Kumar, Narender; Kumar, Sushma; Tsong, Yun-Yen; Sivin, Irving; Nath, Anita; Sussman, Heather; Cochon, Leila; Jose Miranda, Maria; Reyes, Veronica; Faundes, Anibal; Mishell, Daniel, Jr.</t>
  </si>
  <si>
    <t>Effects of a novel estrogen-free, progesterone receptor modulator contraceptive vaginal ring on inhibition of ovulation, bleeding patterns and endometrium in normal women</t>
  </si>
  <si>
    <t>CONTRACEPTION</t>
  </si>
  <si>
    <t>Background: Progesterone receptor modulators (PRMs) delivered by contraceptive vaginal rings provide an opportunity for development of an estrogen-free contraceptive that does not require daily oral intake of steroids. The objective of this proof-of-concept study was to determine whether continuous delivery of 600-800 mcg of ulipristal acetate (UPA) from a contraceptive vaginal ring could achieve 80% to 90% inhibition of ovulation. Study Design: This was a prospective, controlled, open-labeled, multicenter international trial to examine the effectiveness and safety of this prototype vaginal ring. Thirty-nine healthy women, 21-40 years old and not at risk of pregnancy, were enrolled at three clinic sites. Volunteers participated in a control cycle, a 12-week treatment period and a post-treatment cycle. Pharmacodynamic effects on follicular function and inhibition of ovulation, effects on endometrium, bleeding patterns and serum UPA levels were evaluated. Results: Mean UPA levels during treatment were nearly constant, approximately 5.1 ng/mL throughout the study. Ovulation was documented in 32% of ill 4-week treatment cycles. A correlation was observed between serum UPA and degree of inhibition of ovarian activity. There was no evidence of hyperplasia of endometrium, but PRM-associated endometrial changes were frequently observed (41%). Conclusion: In this study, the minimum effective contraceptive dose was not established. Further studies are required testing higher doses of UPA to attain ovulation suppression in a higher percentage of subjects. (C) 2012 Elsevier Inc. All rights reserved.</t>
  </si>
  <si>
    <t>Kumar, Narender/JWP-7679-2024; Reyes, Veronica/GSE-4030-2022; Williams, Ashley/JAX-9689-2023</t>
  </si>
  <si>
    <t>Williams, Alistair/0000-0002-7085-4525</t>
  </si>
  <si>
    <t>0010-7824</t>
  </si>
  <si>
    <t>1879-0518</t>
  </si>
  <si>
    <t>10.1016/j.contraception.2011.10.003</t>
  </si>
  <si>
    <t>WOS:000303187500010</t>
  </si>
  <si>
    <t>Moya, SA; Vidal, M; Abarca, G; Martinez, C; Guerchais, V; Le Bozec, H; Garland, MT; Rodriguez, S; Aguirre, P</t>
  </si>
  <si>
    <t>Moya, S. A.; Vidal, M.; Abarca, G.; Martinez, C.; Guerchais, V.; Le Bozec, H.; Garland, M. T.; Rodriguez, S.; Aguirre, P.</t>
  </si>
  <si>
    <t>Synthesis, structure and catalytic activities for hydrogen transfer reaction of the carbonyl ruthenium(II) complex containing polypyridine and phosphine ligands</t>
  </si>
  <si>
    <t>INORGANIC CHEMISTRY COMMUNICATIONS</t>
  </si>
  <si>
    <t>The synthesis and characterization of new ruthenium(II) carbonyl complexes containing polypyridine and triphenylphosphine ligands is reported. Crystallographic information obtained for the trans-PPh3-[Ru(biq) (PPh3)(2)(CO)]Cl-2 complex (biq = 2,2'-biquinoline) reveals five-coordination on the metal. The complexes were studied as catalysts in hydrogen transfer reactions in basic solution. Turnover frequencies in the 2250-817h(-1) range were determined in 1 hour of reaction with a substrate/catalysts ratio of 830. (C) 2010 Elsevier B.V. All rights reserved.</t>
  </si>
  <si>
    <t>Abarca, Gabriel/O-3451-2019; Abarca Anjari, Gabriel/L-4006-2016; Guerchais, Veronique/D-6471-2017</t>
  </si>
  <si>
    <t>Abarca Anjari, Gabriel/0000-0001-8477-2275; Guerchais, Veronique/0000-0003-4821-3817</t>
  </si>
  <si>
    <t>1387-7003</t>
  </si>
  <si>
    <t>1879-0259</t>
  </si>
  <si>
    <t>10.1016/j.inoche.2010.09.001</t>
  </si>
  <si>
    <t>WOS:000288730800039</t>
  </si>
  <si>
    <t>Ramirez-Campillo, R; Alvarez, C; García-Hermoso, A; Celis-Morales, C; Ramirez-Velez, R; Gentil, P; Izquierdo, M</t>
  </si>
  <si>
    <t>Ramirez-Campillo, Rodrigo; Alvarez, Cristian; Garcia-Hermoso, Antonio; Celis-Morales, Carlos; Ramirez-Velez, Robinson; Gentil, Paulo; Izquierdo, Mikel</t>
  </si>
  <si>
    <t>Reply to the commentary on: High-speed resistance training in elderly women: Effects of cluster training sets on functional performance and quality of life</t>
  </si>
  <si>
    <t>EXPERIMENTAL GERONTOLOGY</t>
  </si>
  <si>
    <t>ALVAREZ, CRISTIAN/S-8150-2019; Ramirez-Campillo, Rodrigo/M-1258-2016; García-Hermoso, Antonio/ADU-2591-2022; Izquierdo, Mikel/A-4894-2010; Ramirez-Velez, Robinson/D-5311-2016; Garcia-Hermoso, Antonio/P-1857-2017; Gentil, Paulo/L-7968-2016</t>
  </si>
  <si>
    <t>Ramirez-Campillo, Rodrigo/0000-0003-2035-3279; Izquierdo, Mikel/0000-0002-1506-4272; Alvarez, Cristian/0000-0003-4783-9981; Ramirez-Velez, Robinson/0000-0003-3075-6960; Garcia-Hermoso, Antonio/0000-0002-1397-7182; Gentil, Paulo/0000-0003-2459-4977</t>
  </si>
  <si>
    <t>0531-5565</t>
  </si>
  <si>
    <t>1873-6815</t>
  </si>
  <si>
    <t>10.1016/j.exger.2019.05.012</t>
  </si>
  <si>
    <t>WOS:000470675300005</t>
  </si>
  <si>
    <t>Gheisari, M; Tahaei, H; Fernandez-Campusano, C; Malik, M; Mnkandla, E; Wang, ZH; Sibiya, M; Webber, JL; Mughal, MR; Lee, CC; Sun, PJ; Mehbodniya, A</t>
  </si>
  <si>
    <t>Gheisari, Mehdi; Tahaei, Hamid; Fernandez-Campusano, Christian; Malik, Mazhar; Mnkandla, Ernest; Wang, Zenghui; Sibiya, Malusi; Webber, Julian L.; Mughal, Muhammad Rizwan; Lee, Cheng-Chi; Sun, Panjun; Mehbodniya, Abolfazl</t>
  </si>
  <si>
    <t>A Flexible Software-Defined Networking-Based Privacy-Preserving Method for Internet of Things-Based Smart City Environment Based on the Neighbors Situation</t>
  </si>
  <si>
    <t>COMPUTER</t>
  </si>
  <si>
    <t>We introduce DPSmartCity, a context-aware dynamic software-defined networking (SDN) framework that preserves privacy in smart cities. Enhancing the Internet of Things (IoT)-centric infrastructure with dynamic network management, the SDN controller employs contextual information and trust evaluation, determining secure routes from IoT devices to the cloud.</t>
  </si>
  <si>
    <t>Mnkandla, Ernest/G-5235-2012; Mughal, Muhammad/W-3641-2019; Fernández-Campusano, Christian/M-8749-2018; Sun, Panjun/AFN-1511-2022; Tahaei, Hamid/AAH-6785-2020; Gheisari, Mehdi/Y-4681-2018</t>
  </si>
  <si>
    <t>0018-9162</t>
  </si>
  <si>
    <t>1558-0814</t>
  </si>
  <si>
    <t>10.1109/MC.2024.3506700</t>
  </si>
  <si>
    <t>WOS:001471142700013</t>
  </si>
  <si>
    <t>Pérez-Contreras, J; Loro-Ferrer, JF; Merino-Muñoz, P; Hermosilla-Palma, F; Miranda-Lorca, B; Bustamante-Garrido, A; Inostroza-Ríos, F; Brito, CJ; Aedo-Muñoz, E</t>
  </si>
  <si>
    <t>Perez-Contreras, Jorge; Loro-Ferrer, Juan Francisco; Merino-Munoz, Pablo; Hermosilla-Palma, Felipe; Miranda-Lorca, Brayan; Bustamante-Garrido, Alejandro; Inostroza-Rios, Felipe; Brito, Ciro Jose; Aedo-Munoz, Esteban</t>
  </si>
  <si>
    <t>Intra and Inter-Test Reliability of Isometric Hip Adduction Strength Test with Force Plates in Professional Soccer Players</t>
  </si>
  <si>
    <t>JOURNAL OF FUNCTIONAL MORPHOLOGY AND KINESIOLOGY</t>
  </si>
  <si>
    <t>Assessing the reliability of measurement instruments and equipment is essential to ensure the accurate tracking of athletes over extended periods, minimizing the measurement errors caused by chance or other factors. However, a less common but equally important analysis is the verification of inter-measurement agreement, which complements the reliability results. Purpose: To evaluate the intra- and inter-test reliability of an isometric hip adduction strength and asymmetries test in professional soccer players. Methods: Twenty-three professional male soccer players were evaluated on two occasions, 1 week apart. The force signal was collected using force plates (Pasco PS-2141), and the data processing was performed using Matlab software (R2023a, MathWorks, Natick, MA, USA). The peak force, interval RFD, peak RFD, peak force asymmetry and RFD were analyzed. Intraclass correlation coefficients (ICCs) and coefficients of variation (CV) were calculated to corroborate the intra- and inter-test reliability. In addition, the degree of agreement of the asymmetries was corroborated through the kappa index. Results: The peak force demonstrated an acceptable absolute reliability (CV &lt; 10%) for the intra-test and test-retest condition, an excellent relative intra-test reliability and a good to moderate reliability for the test-retest reliability. However, the peak force asymmetry showed a moderate test-retest reliability and agreement. For the intra-test condition, the RFD variables demonstrate a moderate to excellent relative reliability; however, all demonstrate unacceptable absolute reliability (CV &gt; 10%) in at least one of the evaluation sessions. A moderate to poor test-retest reliability and unacceptable absolute reliability were observed for all the RFD variables. Conclusions: The peak force is the variable with the highest intra- and inter-test reliability, so its use is recommended to longitudinally assess the maximum strength of the adductors in professional soccer players, but not the asymmetry orientation of the peak force. The RFD variables should be interpreted with caution due to their inconsistent reliability, and it is necessary to improve the methods used to achieve adequate reliability.</t>
  </si>
  <si>
    <t>Merino Muñoz, Pablo/JGL-6690-2023; Inostroza Ríos, Felipe/HNQ-1116-2023; Brito, Ciro/ABH-2245-2020; Aedo-Muñoz, Esteban/R-5623-2019; loro, juan/L-9319-2014</t>
  </si>
  <si>
    <t>Hermosilla-Palma, Felipe/0000-0001-8686-6793; Merino-Munoz, Pablo/0000-0002-8323-726X; MIRANDA LORCA, BRAYAN RAFAEL/0009-0002-3478-1733; brito, ciro/0000-0002-9678-1977; Perez-Contreras, Jorge/0000-0002-2314-0204; loro, juan/0000-0002-0517-8209; Inostroza Rios, Felipe Ignacio/0009-0006-9533-3247; Aedo-Munoz, Esteban/0000-0003-1544-2824</t>
  </si>
  <si>
    <t>2411-5142</t>
  </si>
  <si>
    <t>10.3390/jfmk9040270</t>
  </si>
  <si>
    <t>WOS:001386911400001</t>
  </si>
  <si>
    <t>Garcia-Hermoso, A; Ramírez-Vélez, R; Ramírez-Campillo, R; Peterson, MD; Martínez-Vizcaino, V</t>
  </si>
  <si>
    <t>Concurrent aerobic plus resistance exercise versus aerobic exercise alone to improve health outcomes in paediatric obesity: a systematic review and meta-analysis</t>
  </si>
  <si>
    <t>Objective To determine if the combination of aerobic and resistance exercise is superior to aerobic exercise alone for the health of obese children and adolescents. Design Systematic review with meta-analysis. Data sources Computerised search of 3 databases (MEDLINE, EMBASE, and Cochrane Controlled Trials Registry). Eligibility criteria for selecting studies Studies that compared the effect of supervised concurrent exercise versus aerobic exercise interventions, with anthropometric and metabolic outcomes in paediatric obesity (6-18 years old). The mean differences (MD) of the parameters from preintervention to postintervention between groups were pooled using a random-effects model. Results 12 trials with 555 youths were included in the meta-analysis. Compared with aerobic exercise alone, concurrent exercise resulted in greater reductions in body mass (MD=-2.28 kg), fat mass (MD=-3.49%; and MD=-4.34 kg) and low-density lipoprotein cholesterol (MD=-10.20 mg/dL); as well as greater increases in lean body mass (MD=2.20 kg) and adiponectin level (MD=2.59 mu g/mL). Differences were larger for longer term programmes (&gt;24 weeks). Summary Concurrent aerobic plus resistance exercise improves body composition, metabolic profiles, and inflammatory state in the obese paediatric population.</t>
  </si>
  <si>
    <t>Peterson, Mark/ABD-3853-2020; García-Hermoso, Antonio/ADU-2591-2022; VIZCAINO, VICENTE/R-4336-2017; Ramirez-Campillo, Rodrigo/M-1258-2016; Garcia-Hermoso, Antonio/P-1857-2017; Ramirez-Velez, Robinson/D-5311-2016</t>
  </si>
  <si>
    <t>Ramirez-Campillo, Rodrigo/0000-0003-2035-3279; Garcia-Hermoso, Antonio/0000-0002-1397-7182; Peterson, Mark/0000-0002-9861-4275; Ramirez-Velez, Robinson/0000-0003-3075-6960</t>
  </si>
  <si>
    <t>10.1136/bjsports-2016-096605</t>
  </si>
  <si>
    <t>WOS:000423884400009</t>
  </si>
  <si>
    <t>Zitko, P; Ramírez, J; Markkula, N; Norambuena, P; Ortiz, AM; Sepúlveda, R</t>
  </si>
  <si>
    <t>Zitko, Pedro; Ramirez, Jorge; Markkula, Niina; Norambuena, Pablo; Ortiz, Ana Maria; Sepulveda, Rafael</t>
  </si>
  <si>
    <t>Implementing a Community Model of Mental Health Care in Chile: Impact on Psychiatric Emergency Visits</t>
  </si>
  <si>
    <t>PSYCHIATRIC SERVICES</t>
  </si>
  <si>
    <t>Objective: The community model of mental health care (CMMHC) is recommended as the bestway to organizemental health care, but evidence of its successful implementation and effectiveness is scarce, particularly in resource-poor settings. This study aimed to evaluate the impact of CMMHCon the rate of psychiatric emergency visits in Santiago, Chile. Methods: The rate of psychiatric emergency visits from 2006 to 2011 was compared between two health care administrative districts: district 1 (D1), in which CMMHC was being systematically implemented, and D2, where CMMHC implementation was very limited and inconsistent. In addition, rates of psychiatric emergency visits in ten D1 municipalities were compared by the degree to which they had implemented CMMHC. Results: Compared with D2, D1 had higher rates of psychiatric emergency visits during the observation period. In D1, the rate of visits per 100,000 inhabitants declined from 541 in 2006 to 414 in 2011. In D2, the rate increased from 104 in 2006 to 130 in 2011. In D1 municipalities, the reduction in the rate of psychiatric emergency visits was greater in those with wellimplemented CMMHC compared with those with partially implemented CMMHC. When distance to the emergency room was taken into account, the 2011 rate of emergency visits in the ten D1 municipalities was 21% (p&lt;.01) lower in those with well-implemented CMMHC than in those with partially implemented CMMHC. Conclusions: CMMHC implementation leads to reduction in psychiatric emergency visits, which are burdensome to both users and providers. Results support CMMHC implementation in resource-poor settings.</t>
  </si>
  <si>
    <t>Sepulveda, Rafael/AAH-5476-2019; Norambuena Cardenas, Pablo/AAA-6622-2020; RAMIREZ, JORGE/KLC-4723-2024</t>
  </si>
  <si>
    <t>Norambuena Cardenas, Pablo/0000-0002-7795-924X; RAMIREZ, JORGE/0000-0001-9778-0194; Sepulveda, Rafael/0000-0003-2816-9724</t>
  </si>
  <si>
    <t>1075-2730</t>
  </si>
  <si>
    <t>1557-9700</t>
  </si>
  <si>
    <t>AUG 1</t>
  </si>
  <si>
    <t>10.1176/appi.ps.201600371</t>
  </si>
  <si>
    <t>WOS:000410173600015</t>
  </si>
  <si>
    <t>Jassal, AK; Aliaga-Alcalde, N; Corbella, M; Aravena, D; Ruiz, E; Hundal, G</t>
  </si>
  <si>
    <t>Jassal, Amanpreet Kaur; Aliaga-Alcalde, Nuria; Corbella, Montserrat; Aravena, Daniel; Ruiz, Eliseo; Hundal, Geeta</t>
  </si>
  <si>
    <t>Neodymium 1D systems: targeting new sources for field-induced slow magnetization relaxation</t>
  </si>
  <si>
    <t>DALTON TRANSACTIONS</t>
  </si>
  <si>
    <t>Two non-isostructural homometallic 1D neodymium species displaying field-induced slow magnetization relaxations are presented together with theoretical studies. It is established that both systems are better described as organized 1D single molecule magnets (SMMs). Studies show great potential of Nd-III ions to provide homometallic chains with slow magnetic relaxation.</t>
  </si>
  <si>
    <t>Corbella, Montserrat/I-3667-2014; Kaur, Amanpreet/AAX-2202-2021; Aravena, Daniel/F-2174-2011; Ruiz, Eliseo/A-6268-2011; Aliaga-Alcalde, Nuria/H-5886-2011</t>
  </si>
  <si>
    <t>Aravena, Daniel/0000-0003-3140-4852; Ruiz, Eliseo/0000-0001-9097-8499; Aliaga-Alcalde, Nuria/0000-0003-1080-3862</t>
  </si>
  <si>
    <t>1477-9226</t>
  </si>
  <si>
    <t>1477-9234</t>
  </si>
  <si>
    <t>10.1039/c5dt02533h</t>
  </si>
  <si>
    <t>WOS:000360471000006</t>
  </si>
  <si>
    <t>Wattiez, AS; Pichon, X; Dupuis, A; Hernández, A; Privat, AM; Aissouni, Y; Chalus, M; Pelissier, T; Eschalier, A; Marin, P; Courteix, C</t>
  </si>
  <si>
    <t>Wattiez, Anne-Sophie; Pichon, Xavier; Dupuis, Amandine; Hernandez, Alejandro; Privat, Anne-Marie; Aissouni, Youssef; Chalus, Maryse; Pelissier, Teresa; Eschalier, Alain; Marin, Philippe; Courteix, Christine</t>
  </si>
  <si>
    <t>Disruption of 5-HT2A Receptor-PDZ Protein Interactions Alleviates Mechanical Hypersensitivity in Carrageenan-Induced Inflammation in Rats</t>
  </si>
  <si>
    <t>Despite common pathophysiological mechanisms, inflammatory and neuropathic pain do not respond equally to the analgesic effect of antidepressants, except for selective serotonin reuptake inhibitors (SSRIs), which show a limited efficacy in both conditions. We previously demonstrated that an interfering peptide (TAT-2ASCV) disrupting the interaction between 5-HT2A receptors and its associated PDZ proteins (e. g. PSD-95) reveals a 5-HT2A receptor-mediated anti-hyperalgesic effect and enhances the efficacy of fluoxetine (a SSRI) in diabetic neuropathic pain conditions in rats. Here, we have examined whether the same strategy would be useful to treat inflammatory pain. Sub-chronic inflammatory pain was induced by injecting lambda-carrageenan (100 mu l, 2%) into the left hind paw of the rat. Mechanical hyperalgesia was assessed after acute treatment with TAT-2ASCV or/and fluoxetine (SSRI) 2.5 h after lambda-carrageenan injection. Possible changes in the level of 5-HT2A receptors and its associated PDZ protein PSD-95 upon inflammation induction were quantified by Western blotting in dorsal horn spinal cord. Administration of TAT-2ASCV peptide (100 ng/rat, intrathecally) but not fluoxetine (10 mg/kg, intraperitoneally) relieves mechanical hyperalgesia (paw pressure test) in inflamed rats. This anti-hyperalgesic effect involves spinal 5-HT2A receptors and GABAergic interneurons as it is abolished by a 5-HT2A antagonist (M100907, 150 ng/rat, intrathecally) and a GABA(A) antagonist, (bicuculline, 3 mu g/rat, intrathecally). We also found a decreased expression of 5-HT2A receptors in the dorsal spinal cord of inflamed animals which could not be rescued by TAT-2ASCV injection, while the amount of PSD-95 was not affected by inflammatory pain. Finally, the coadministration of fluoxetine does not further enhance the anti-hyperalgesic effect of TAT-2ASCV peptide. This study reveals a role of the interactions between 5-HT2A receptors and PDZ proteins in the pathophysiological pathways of inflammatory pain and opens new perspectives in its control thanks to molecules disrupting 5-HT2A receptor/PDZ protein interactions.</t>
  </si>
  <si>
    <t>Wattiez, Anne-Sophie/V-3754-2019; Pichon, Xavier/AAG-9144-2020; ESCHALIER, Alain/L-9957-2015; Hernandez, Alejandro/M-4796-2019; Courteix, Christine/HJI-7642-2023; aisouni, youssef/K-2254-2015</t>
  </si>
  <si>
    <t>Hernandez, Alejandro/0000-0001-9222-6522; Pichon, Xavier/0000-0002-0755-2305; Courteix, Christine/0000-0002-2927-2910; aisouni, youssef/0000-0002-9264-7690; Wattiez, Anne-Sophie/0000-0002-4392-2211</t>
  </si>
  <si>
    <t>SEP 18</t>
  </si>
  <si>
    <t>e74661</t>
  </si>
  <si>
    <t>10.1371/journal.pone.0074661</t>
  </si>
  <si>
    <t>WOS:000324695900075</t>
  </si>
  <si>
    <t>Fatma, I; Sharma, V; Sharma, PK; Cantero-López, P; Assad, H; Sánchez, J; Alegría-Arcos, M; Yañez, O; Thakur, RC; Kumar, A</t>
  </si>
  <si>
    <t>Fatma, Ishrat; Sharma, Vivek; Sharma, Praveen Kumar; Cantero-Lopez, Plinio; Assad, Humira; Sanchez, Julio; Alegria-Arcos, Melissa; Yanez, Osvaldo; Thakur, Ramesh Chand; Kumar, Ashish</t>
  </si>
  <si>
    <t>An experimental and theoretical exploration of the impact of co-solvent on the micellization behaviour of ionic surfactants</t>
  </si>
  <si>
    <t>CHEMICAL PHYSICS</t>
  </si>
  <si>
    <t>In current study, a combined experimental as well molecular modeling study on the effect of Ethyl lactate on the self-aggregation behaviour of N-Lauroyl sarcosine sodium salt (NLSS) and benzethonium chloride (BC) was done. It was found that the micellization phenomenon of both surfactants repressed on raising the concentration of the Ethyl lactate. The electrical conductivity measurements were utilized to calculate the CMC values. Moreover, thermodynamic factors were determined by employing temperature dependence of CMC values i.e. XCMC. The outcomes showed that CMC values of both surfactants rise on increasing the co-solvent concentration and it acts as H2O structure breaker. Values of &amp; UDelta;G degrees m are negative that becomes less negative on upsurging the concentration of co-solvent, which reveals that the micelle formation becomes less favorable at high fractions of Ethyl lactate + H2O. A systematic exploration of the impact of co-solvent on the self-aggregation behaviour is important in various fields like detergency, pharmaceuticals, etc.</t>
  </si>
  <si>
    <t>Thakur, Ramesh/JSL-4821-2023; Sanchez, Julio/AEO-4360-2022; Sharma, Praveen Kumar/O-7958-2015; kumar, Ashish/V-7918-2019</t>
  </si>
  <si>
    <t>Sharma, Praveen Kumar/0000-0003-3583-9298; Yanez Osses, Osvaldo Andres/0000-0001-8993-9353; Assad, Humira/0000-0002-6573-4676; Thakur, Ramesh/0000-0002-0499-7763; Alegria-Arcos, Melissa/0000-0002-9372-9153; kumar, Ashish/0000-0002-2003-6209</t>
  </si>
  <si>
    <t>0301-0104</t>
  </si>
  <si>
    <t>1873-4421</t>
  </si>
  <si>
    <t>SEP 1</t>
  </si>
  <si>
    <t>10.1016/j.chemphys.2023.111997</t>
  </si>
  <si>
    <t>WOS:001025172500001</t>
  </si>
  <si>
    <t>Root-Bernstein, M; Vargas, BH; Bondoux, A; Guerrero-Gatica, M; Zorondo-Rodríguez, F; Huerta, M; Valenzuela, R; Bello, AV</t>
  </si>
  <si>
    <t>Root-Bernstein, Meredith; Holgado Vargas, Berta; Bondoux, Arthur; Guerrero-Gatica, Matias; Zorondo-Rodriguez, Francisco; Huerta, Margarita; Valenzuela, Rafael; Videla Bello, Angel</t>
  </si>
  <si>
    <t>Silvopastoralism, local ecological knowledge and woodland trajectories in a category V- type management area</t>
  </si>
  <si>
    <t>BIODIVERSITY AND CONSERVATION</t>
  </si>
  <si>
    <t>Preserving landscape heritage elements and indigenous and local knowledge (ILK) is an increasingly popular approach in conservation. We focus on a globally very contentious practice, silvopastoral livestock raising, which along with other peasant practices, is slated for elimination according to projected Chilean conservation policy. We used ecological surveys to ask how central Chilean semi-arid woodlands in the locality of Alhue have responded to past human livelihoods practices, including silvopastoralism. Using interviews, we examined local ecological knowledge and uses of forest plants. We also conducted surveys on current agricultural practices. Many residents maintain a diversified, smallholder subsistence agricultural strategy. Residents identified 113 plants with 73 uses. They also demonstrated a good knowledge of woodland regulations. We found that woodlands recover well from historical disturbances over 50-100 year time scales. In fact, the presence of cattle year-round in the woodlands was associated with greater tree regeneration. We find that despite the conservation discourse, there is no evidence of a degradation problem, and we hypothesize based on our findings that eradicating peasants' silvopastoralism and other practices could increase degradation. We recommend that the Conservation Landscape programme be used to save key traditional practices, which should be studied further to determine optimal management. We show how conflicts and misalignments within and between ILK, data, and environmental discourse can signal complex socio-ecological issues where a closer look at how the evidence fits together is necessary.</t>
  </si>
  <si>
    <t>Guerrero-Gatica, Matías/AAJ-8074-2021; Zorondo-Rodríguez, Francisco/GWU-8371-2022; Zorondo-Rodriguez, Francisco/I-8273-2014</t>
  </si>
  <si>
    <t>Zorondo-Rodriguez, Francisco/0000-0001-6469-9859</t>
  </si>
  <si>
    <t>0960-3115</t>
  </si>
  <si>
    <t>1572-9710</t>
  </si>
  <si>
    <t>10.1007/s10531-021-02349-7</t>
  </si>
  <si>
    <t>WOS:000743392400001</t>
  </si>
  <si>
    <t>van der Nest, MA; Chavez, R; De Vos, L; Duong, TA; Gil-Duran, C; Ferreira, MA; Lane, FA; Levican, G; Santana, QC; Steenkamp, ET; Suzuki, H; Tello, M; Rakoma, JR; Vaca, I; Valdés, N; Wilken, PM; Wingfield, MJ; Wingfield, BD</t>
  </si>
  <si>
    <t>van der Nest, Magriet A.; Chavez, Renato; De Vos, Lieschen; Duong, Tuan A.; Gil-Duran, Carlos; Ferreira, Maria Alves; Lane, Frances A.; Levican, Gloria; Santana, Quentin C.; Steenkamp, Emma T.; Suzuki, Hiroyuki; Tello, Mario; Rakoma, Jostina R.; Vaca, Inmaculada; Valdes, Natalia; Wilken, P. Markus; Wingfield, Michael J.; Wingfield, Brenda D.</t>
  </si>
  <si>
    <t>IMA genome-F14 Draft genome sequences of Penicillium roqueforti, Fusarium sororula, Chrysoporthe puriensis, and Chalaropsis populi</t>
  </si>
  <si>
    <t>IMA FUNGUS</t>
  </si>
  <si>
    <t>Draft genomes of Penicillium roqueforti, Fusarium sororula, Chalaropsis populi, and Chrysoporthe puriensis are presented. Penicillium roqueforti is a model fungus for genetics, physiological and metabolic studies, as well as for biotechnological applications. Fusarium sororula and Chrysoporthe puriensis are important tree pathogens, and Chalaropsis populi is a soil-borne root-pathogen. The genome sequences presented here thus contribute towards a better understanding of both the pathogenicity and biotechnological potential of these species.</t>
  </si>
  <si>
    <t>Wingfield, Brenda/B-1376-2008; Levican, Gloria/R-5191-2019; Valdes, Natalia/AAI-8151-2021; Tello, Mario/N-4198-2019; Wingfield, Michael/A-9473-2008; De Vos, Lieschen/G-2328-2016; Steenkamp, Emma/B-7958-2009; Duong, Tuan/I-9432-2012; Wilken, Markus/B-2049-2010; Vaca, Inmaculada/I-2758-2013; Santana, Quentin/D-4969-2009</t>
  </si>
  <si>
    <t>Duong, Tuan/0000-0001-5110-1854; Tello, Mario/0000-0003-4573-6460; Wilken, Markus/0000-0003-0827-6098; van der Nest, Magriet/0000-0001-6914-8343; valdes parra, Natalia/0000-0002-6884-7799; Vaca, Inmaculada/0000-0002-8952-9036; Lane, Frances/0000-0002-9103-7938; Santana, Quentin/0000-0002-1178-2533</t>
  </si>
  <si>
    <t>2210-6340</t>
  </si>
  <si>
    <t>2210-6359</t>
  </si>
  <si>
    <t>MAR 5</t>
  </si>
  <si>
    <t>10.1186/s43008-021-00055-1</t>
  </si>
  <si>
    <t>WOS:000625957500001</t>
  </si>
  <si>
    <t>Arias-Bravo, G; Valderrama, G; Inostroza, J; Reyes-Farías, M; Garcia-Diaz, DF; Zorondo-Rodríguez, F; Fuenzalida, LF</t>
  </si>
  <si>
    <t>Arias-Bravo, Guisselle; Valderrama, Gustavo; Inostroza, Jaime; Reyes-Farias, Marjorie; Garcia-Diaz, Diego F.; Zorondo-Rodriguez, Francisco; Fuenzalida, Loreto F.</t>
  </si>
  <si>
    <t>Overnutrition in Infants Is Associated With High Level of Leptin, Viral Coinfection and Increased Severity of Respiratory Infections: A Cross-Sectional Study</t>
  </si>
  <si>
    <t>Objective: To investigate the relationship of overnutrition (obese and overweight) with severity of illness in children hospitalized with acute lower respiratory infections (ALRIs), frequency of viral coinfections and leptin levels. Methods: We studied 124 children &lt;2 years old that were hospitalized for ALRI. Nutritional status was calculated by z-scores according to weight-for-age z-scores, length or height-for-age z-scores, and weight-for-height z-scores. Nasopharyngeal aspirates (NPAs) were obtained and viral respiratory pathogens were identified using reverse transcription polymerase chain reactions (RT-PCR). Respiratory syncytial virus (RSV) load was assessed using quantitative RT-PCR. NPA and plasma leptin level were measured. Clinical data and nutritional status were recorded, and patients were followed up until hospital discharge. Viral coinfection was defined as the presence of two or more viruses detected in the same respiratory sample. Severity of illness was determined by length of hospitalization and duration of oxygen therapy. Results: Children with overnutrition showed a greater frequency of viral coinfection than those with normal weight (71% obese vs. 37% normal weight p = 0.013; 68% overweight vs. 37% normal weight p = 0.004). A lower RSV load was found in obese (5.91 log(10) copies/mL) and overweight children (6.49 log(10) copies/mL) compared to normal weight children (8.06 log(10) copies/mL; p = 0.021 in both cases). In multivariate analysis, obese, and overweight infants &lt;6 months old were associated with longer hospital stays (RR = 1.68; CI: 1.30-2.15 and obese: RR = 1.68; CI: 1.01-2.71, respectively) as well as a greater duration of oxygen therapy (RR = 1.80; IC: 1.41-2.29 and obese: RR = 1.91; CI: 1.15-3.15, respectively). Obese children &lt;6 months showed higher plasma leptin level than normal weight children (7.58 vs. 5.12 ng/mu l; p &lt;0.046). Conclusions: In infants younger than 6 months, overnutrition condition was related to increased severity of infections and high plasma leptin level. Also, children with overnutrition showed a greater frequency of viral coinfection and low RSV viral load compared to normal weights children. These findings further contribute to the already existent evidence supporting the importance of overnutrition prevention in pediatric populations.</t>
  </si>
  <si>
    <t>Zorondo-Rodríguez, Francisco/GWU-8371-2022; Reyes Farias, Marjorie/AGP-5221-2022; Garcia, Diego/AGH-4056-2022; Zorondo-Rodriguez, Francisco/I-8273-2014</t>
  </si>
  <si>
    <t>Reyes-Farias, Marjorie/0000-0001-9179-7251; Garcia-Diaz, Diego/0000-0002-7551-0553; Zorondo-Rodriguez, Francisco/0000-0001-6469-9859; Fuenzalida, Loreto F/0000-0002-9570-6043</t>
  </si>
  <si>
    <t>FEB 18</t>
  </si>
  <si>
    <t>10.3389/fped.2020.00044</t>
  </si>
  <si>
    <t>WOS:000518692200001</t>
  </si>
  <si>
    <t>Zúñiga-Núñez, D; Mura, F; Mariño-Ocampo, N; Zúñiga, B; Robinson-Duggon, J; Zamora, RA; Poblete, H; Aspée, A; Fuentealba, D</t>
  </si>
  <si>
    <t>Zuniga-Nunez, Daniel; Mura, Francisco; Marino-Ocampo, Nory; Zuniga, Benjamin; Robinson-Duggon, Jose; Zamora, Ricardo A.; Poblete, Horacio; Aspee, Alexis; Fuentealba, Denis</t>
  </si>
  <si>
    <t>Exploring the photophysics of cinnamoyl-coumarin derivatives in cucurbit [7]uril complexes and assessing phototoxicity in HeLa cells</t>
  </si>
  <si>
    <t>Cinnamoyl-coumarin derivatives containing 5 or 12 carbon aliphatic chains were evaluated as photosensitizers and their photophysical properties were studied in detail. Moreover, these compounds were encapsulated in cucurbit[7]uril macrocycle with relatively high binding affinities in aqueous media. Fluorescence quantum yields, fluorescence lifetimes and singlet oxygen quantum yields were measured upon encapsulation. Computational DFT calculations and molecular dynamics simulations allowed the visualization of the binding modes of both derivatives inside the macrocycle. In particular, the free energy profiles for the insertion of the molecules into the macrocycle were determined to assess the most probable conformations of the complexes in water. In vitro phototoxicity assays were carried out in HeLa cells showed significant decreases in cell viability upon illumination of the 5 carbon aliphatic chain derivative at 460 nm with an LED source at different concentrations and enhanced by cucurbit[7]uril. However, the one with 12 carbon aliphatic chain did not display any phototoxicity regardless of the presence of cucurbit[7]uril. This behavior is related to the high lipophilicity introduced by a 12 carbon aliphatic chain conditioning its distribution on hydrophobic compartments and decreasing its phototoxicity. The enhanced phototoxicity elicited by cucurbit[7]uril on the 5 carbon aliphatic chain derivative but not in the 12 carbon derivative remark that there is a balance between hydrophobicity of these probes with the carrier properties of cucurbit[7]uril to be reach for effective phototoxicity properties.</t>
  </si>
  <si>
    <t>Mariño Ocampo, Nory/I-8512-2015; Poblete, Horacio/J-9781-2012; Zamora, Ricardo/O-8717-2018; Robinson-Duggon, Jose/AAP-4139-2020; Fuentealba, Denis/R-9880-2016</t>
  </si>
  <si>
    <t>Marino-Ocampo, Nory/0000-0003-2013-9790; Zamora, Ricardo/0000-0002-7707-7482; Robinson-Duggon, Jose/0000-0003-4784-7420; Fuentealba, Denis/0000-0003-4798-7204; Mura Mardones, Francisco/0000-0003-0463-1814</t>
  </si>
  <si>
    <t>10.1016/j.dyepig.2024.112290</t>
  </si>
  <si>
    <t>WOS:001258563800001</t>
  </si>
  <si>
    <t>Andrade, V; Wong-Guerra, M; Cortés, N; Pastor, G; González, A; Calfío, C; Guzman-Martínez, L; Navarrete, LP; Ramos-Escobar, N; Morales, I; Santander, R; Andrades-Lagos, J; Bacho, M; Rojo, LE; Maccioni, RB</t>
  </si>
  <si>
    <t>Andrade, Victor; Wong-Guerra, Maylin; Cortes, Nicole; Pastor, Gabriela; Gonzalez, Andrea; Calfio, Camila; Guzman-Martinez, Leonardo; Navarrete, Leonardo P.; Ramos-Escobar, Nicolas; Morales, Inelia; Santander, Rocio; Andrades-Lagos, Juan; Bacho, Mitchell; Rojo, Leonel E.; Maccioni, Ricardo Benjamin</t>
  </si>
  <si>
    <t>Scaling the Andean Shilajit: A Novel Neuroprotective Agent for Alzheimer's Disease</t>
  </si>
  <si>
    <t>Alzheimer's disease (AD) is a multifactorial neurodegenerative disorder without a cure, despite the enormous number of investigations and therapeutic approaches. AD is a consequence of microglial responses to damage signals, such as aggregated tau oligomers, which trigger a neuro-inflammatory reaction, promoting the misfolding of cytoskeleton structure. Since AD is the most prevalent cause of dementia in the elderly (&gt;60 years old), new treatments are essential to improve the well-being of affected subjects. The pharmaceutical industry has not developed new drugs with efficacy for controlling AD. In this context, major attention has been given to nutraceuticals and novel bioactive compounds, such as molecules from the Andean Shilajit (AnSh), obtained from the Andes of Chile. Primary cultures of rat hippocampal neurons and mouse neuroblastoma cells were evaluated to examine the functional and neuroprotective role of different AnSh fractions. Our findings show that AnSh fractions increase the number and length of neuronal processes at a differential dose. All fractions were viable in neurons. The AnSh fractions inhibit tau self-aggregation after 10 days of treatment. Finally, we identified two candidate molecules in M3 fractions assayed by UPLC/MS. Our research points to a novel AnSh-derived fraction that is helpful in AD. Intensive work toward elucidation of the molecular mechanisms is being carried out. AnSh is an alternative for AD treatment or as a coadjuvant for an effective treatment.</t>
  </si>
  <si>
    <t>Andrade, Victor/IQV-7730-2023; gonzalez, Andrea/JBJ-3290-2023; Santander, Rocio/K-7645-2013</t>
  </si>
  <si>
    <t>Andrade, Victor/0000-0003-0682-269X; Andrades-Lagos, Juan/0009-0008-1666-0018; Bacho, Mitchell/0000-0002-1754-6793; Calfio, Camila/0000-0002-8220-9849; Rojo, Leonel/0000-0002-0188-2266</t>
  </si>
  <si>
    <t>10.3390/ph16070960</t>
  </si>
  <si>
    <t>WOS:001036388000001</t>
  </si>
  <si>
    <t>Choijil, E; Méndez, CE; Wong, WK; Vieito, JP; Batmunkh, MU</t>
  </si>
  <si>
    <t>Choijil, Enkhbayar; Mendez, Christian Espinosa; Wong, Wing-Keung; Vieito, Joao Paulo; Batmunkh, Munkh-Ulzii</t>
  </si>
  <si>
    <t>Thirty years of herd behavior in financial markets: A bibliometric analysis</t>
  </si>
  <si>
    <t>RESEARCH IN INTERNATIONAL BUSINESS AND FINANCE</t>
  </si>
  <si>
    <t>Bibliometric studies have proven useful in helping researchers better explore the current research trends within a particular field of study. This study analyzes academic research on herd behavior in financial markets conducted over 30 years. The Web of Science database was selected to collect bibliographic material and provide various bibliometric indicators, including the number of citations, publications, and authors, while bibliometric techniques were also employed for visualizing the similarities. The results show a significant growth in research on herd behavior, especially following the subprime crisis. The concluding results from the literature indicate that there is no consensus regarding the causes of this phenomenon, but new perspective have emerged to expand research on herd behavior.</t>
  </si>
  <si>
    <t>Vieito, João/AAE-1207-2020; Espinosa-Méndez, Christian/G-5177-2019; Wong, Wing-Keung/AAI-9296-2020; Batmunkh, Munkh-Ulzii/T-9287-2019; Vieito, Joao Paulo/J-5191-2012</t>
  </si>
  <si>
    <t>Espinosa-Mendez, Christian/0000-0001-6499-2414; Wong, Wing-Keung/0000-0001-6755-572X; Batmunkh, Munkh-Ulzii/0000-0002-6881-9755; Vieito, Joao Paulo/0000-0002-0899-4930</t>
  </si>
  <si>
    <t>0275-5319</t>
  </si>
  <si>
    <t>1878-3384</t>
  </si>
  <si>
    <t>10.1016/j.ribaf.2021.101506</t>
  </si>
  <si>
    <t>WOS:000708427100001</t>
  </si>
  <si>
    <t>Sinnecker, EHDP; García-Martín, JM; Altbir, D; Castro, JDE; Sinnecker, JP</t>
  </si>
  <si>
    <t>Sinnecker, Elis Helena de Campos Pinto; Garcia-Martin, Jose Miguel; Altbir, Dora; Castro, Jose; Sinnecker, Joao Paulo</t>
  </si>
  <si>
    <t>A Magnetic Force Microscopy Study of Patterned T-Shaped Structures</t>
  </si>
  <si>
    <t>The study of patterned magnetic elements that can sustain more than one bit of the information is an important research line for developing new routes in magnetic storage and magnetic logic devices. Previous Monte Carlo studies of T-shaped magnetic nanostructures revealed the equilibrium and evolution of magnetic states that could be found as a result of the strong configurational anisotropy of these systems. In this work, for the first time, such behavior of T-shaped magnetic nanostructures is experimentally studied. In particular, T-shaped Co nanostructures have been produced by electron beam lithography using a single step lift-off process over Si substrates. The existence of four magnetic stable states has been proven by Magnetic Force Microscopy (MFM) and the analysis was complemented by Micromagnetic Simulations. The results confirmed that even for what can be considered large structures, with mu m sizes, such four stable magnetic states can be achieved, and therefore two magnetic bits of information can be stored. We also addressed how to write and read those bits.</t>
  </si>
  <si>
    <t>Garcia-Martin, Jose Miguel/H-4434-2011; Altbir, Dora/R-6781-2018; Sinnecker, Joao Paulo/A-7498-2010</t>
  </si>
  <si>
    <t>Garcia-Martin, Jose Miguel/0000-0002-5908-8428; Altbir, Dora/0000-0002-2945-4909; Sinnecker, Joao Paulo/0000-0001-5211-901X</t>
  </si>
  <si>
    <t>10.3390/ma14061567</t>
  </si>
  <si>
    <t>WOS:000640046600001</t>
  </si>
  <si>
    <t>Kalhori, MR; Saadatpour, F; Arefian, E; Soleimani, M; Farzaei, MH; Aneva, IY; Echeverría, J</t>
  </si>
  <si>
    <t>Kalhori, Mohammad Reza; Saadatpour, Fatemeh; Arefian, Ehsan; Soleimani, Masoud; Farzaei, Mohammad Hosien; Aneva, Ina Yosifova; Echeverria, Javier</t>
  </si>
  <si>
    <t>The Potential Therapeutic Effect of RNA Interference and Natural Products on COVID-19: A Review of the Coronaviruses Infection</t>
  </si>
  <si>
    <t>FRONTIERS IN PHARMACOLOGY</t>
  </si>
  <si>
    <t>The SARS-CoV-2 virus was reported for the first time in Wuhan, Hubei Province, China, and causes respiratory infection. This pandemic pneumonia killed about 1,437,835 people out of 61,308,161cases up to November 27, 2020. The disease's main clinical complications include fever, recurrent coughing, shortness of breath, acute respiratory syndrome, and failure of vital organs that could lead to death. It has been shown that natural compounds with antioxidant, anticancer, and antiviral activities and RNA interference agents could play an essential role in preventing or treating coronavirus infection by inhibiting the expression of crucial virus genes. This study aims to introduce a summary of coronavirus's genetic and morphological structure and determine the role of miRNAs, siRNAs, chemical drugs, and natural compounds in stimulating the immune system or inhibiting the virus's structural and non-structural genes that are essential for replication and infection of SARS-CoV-2.</t>
  </si>
  <si>
    <t>Echeverría, Javier/AAK-3323-2020; Arfiane, Ehsan/N-3912-2017; Aneva, Ina/HNR-2928-2023; Kalhori, Mohammad/O-3345-2019</t>
  </si>
  <si>
    <t>Aneva, Ina/0000-0002-6476-5438; Echeverria, Javier/0000-0002-1688-968X; Arefian, Ehsan/0000-0002-0758-4710</t>
  </si>
  <si>
    <t>1663-9812</t>
  </si>
  <si>
    <t>FEB 23</t>
  </si>
  <si>
    <t>10.3389/fphar.2021.616993</t>
  </si>
  <si>
    <t>WOS:000627848900001</t>
  </si>
  <si>
    <t>Espinoza, CM; Stepanova, M; Moya, PS; Antonova, EE; Valdivia, JA</t>
  </si>
  <si>
    <t>Espinoza, C. M.; Stepanova, M.; Moya, P. S.; Antonova, E. E.; Valdivia, J. A.</t>
  </si>
  <si>
    <t>Ion and Electron κ Distribution Functions Along the Plasma Sheet</t>
  </si>
  <si>
    <t>GEOPHYSICAL RESEARCH LETTERS</t>
  </si>
  <si>
    <t>We use kappa distributions to model thousands of ion and electron flux spectra along the plasma sheet and analyze the variation of the spectral index and the temperature T in this region. We find that distributions are ubiquitous and fit well ion and electron flux spectra during quiet times, and during the expansion and recovery phases of substorms. Near Earth, and up to similar to 12 R-E, the indices are different than the rest of the plasma sheet, both for ions (kappa(i)) and electrons (kappa(e)). There is a significant dawn-dusk asymmetry in kappa(i) toward the tail, which is enhanced during substorms. The ions also exhibit a permanent temperature asymmetry, determined by a colder dawnside. The whole tail becomes hotter during substorms, but it appears that most of the energy is deposited near Earth. Plain Language Summary Ions and electrons in space plasmas rarely experience collisions and the only way they exchange energy is via electromagnetic interactions. It is said that these plasmas are out of thermal equilibrium, which is the ground state of most systems, and can be compared to the balance of temperatures observed when two bodies are in contact. In the Earth's magnetosphere, plasmas are constantly energized by geomagnetic storms and substorms. Because of all this, and contrary to most materials on Earth, particles outside the Earth are always out of thermal equilibrium and their energy budgets are difficult to describe. We have studied ions and electrons in the magnetotail of the Earth's magnetosphere using data taken by the Time History of Events and Macroscale Interactions during Substorms satellites. We confirmed that particles are out thermal equilibrium and found that their behavior is not entirely random, but somewhat organized, even during substorms. They follow the so called kappa functions. This means that particles somehow have an efficient way to organize themselves. We think our findings can provide scientist with better ways to characterize particles in this area of the magnetosphere and build more reliable models.</t>
  </si>
  <si>
    <t>Valdivia, Juan/A-3631-2008; Stepanova, Marina/D-6329-2011; Moya, Pablo S./C-3163-2011; Antonova, Elizaveta/A-2716-2012; Espinoza, Cristobal/U-4428-2017</t>
  </si>
  <si>
    <t>Stepanova, Marina/0000-0002-1053-3375; Moya, Pablo S./0000-0002-9161-0888; Antonova, Elizaveta/0000-0001-6980-3993; Valdivia, Juan Alejandro/0000-0003-3381-9904; Espinoza, Cristobal/0000-0003-2481-2348</t>
  </si>
  <si>
    <t>0094-8276</t>
  </si>
  <si>
    <t>1944-8007</t>
  </si>
  <si>
    <t>JUL 16</t>
  </si>
  <si>
    <t>10.1029/2018GL078631</t>
  </si>
  <si>
    <t>WOS:000439784300005</t>
  </si>
  <si>
    <t>Romo, AIB; Abreu, DS; Paulo, TD; Carepo, MSP; Sousa, EHS; Lemus, L; Aliaga, C; Batista, AA; Nascimento, OR; Abruña, HD; Diógenes, ICN</t>
  </si>
  <si>
    <t>Romo, Adolfo I. B.; Abreu, Dieric S.; Paulo, Tercio de F.; Carepo, Marta S. P.; Sousa, Eduardo H. S.; Lemus, Luis; Aliaga, Carolina; Batista, Alzir A.; Nascimento, Otaciro R.; Abruna, Hector D.; Diogenes, Izaura C. N.</t>
  </si>
  <si>
    <t>Hydroxyl Radical Generation and DNA Nuclease Activity: A Mechanistic Study Based on a Surface-Immobilized Copper Thioether Clip-Phen Derivative</t>
  </si>
  <si>
    <t>CHEMISTRY-A EUROPEAN JOURNAL</t>
  </si>
  <si>
    <t>Coordination compounds of copper have been invoked as major actors in processes involving the reduction of molecular oxygen, mostly with the generation of radical species the assignment for which has, so far, not been fully addressed. In the present work, we have carried out studies in solution and on surfaces to gain insights into the nature of the radical oxygen species (ROS) generated by a copper(II) coordination compound containing a thioether clip-phen derivative, 1,3-bis(1,10-phenanthrolin-2-yloxy)-N-(4-(methylthio)benzylidene)propan-2-amine (2CP-Bz-SMe), enabling its adsorption/immobilization to gold surfaces. Whereas surface plasmon resonance (SPR) and electrochemistry of the adsorbed complex indicated the formation of a dimeric Cu-I intermediate containing molecular oxygen as a bridging ligand, scanning electrochemical microscopy (SECM) and nuclease assays pointed to the generation of a ROS species. Electron paramagnetic resonance (EPR) data reinforced such conclusions, indicating that radical production was dependent on the amount of oxygen and H2O2, thus pointing to a mechanism involving a Fenton-like reaction that results in the production of OH center dot.</t>
  </si>
  <si>
    <t>Diogenes, Izaura/H-6156-2012; Carepo, Marta/D-7196-2013; Batista, Alzir/C-3492-2012; Romo, Adolfo/ABH-1261-2020; Nascimento, Otaciro/F-2794-2019; S. Abreu, Dieric/L-2977-2017; Aliaga, Carolina/G-6024-2019; Sousa, Eduardo/J-8167-2014; Paulo, Tercio/I-5086-2012</t>
  </si>
  <si>
    <t>S. Abreu, Dieric/0000-0001-6809-2077; Aliaga, Carolina/0000-0002-1352-3164; Carepo, Marta/0000-0003-3222-8141; Sousa, Eduardo/0000-0002-0007-8452; Barros Romo, Adolfo Ignacio/0000-0002-9288-2420; LEMUS, LUIS/0000-0002-5499-8115; Paulo, Tercio/0000-0001-6815-7547</t>
  </si>
  <si>
    <t>0947-6539</t>
  </si>
  <si>
    <t>1521-3765</t>
  </si>
  <si>
    <t>JUL 11</t>
  </si>
  <si>
    <t>10.1002/chem.201601719</t>
  </si>
  <si>
    <t>WOS:000380271900031</t>
  </si>
  <si>
    <t>Fuentealba, P; Cortés, C; Audebrand, N; Le Fur, E; Paredes-García, V; Venegas-Yazigi, D; Manzur, J; Spodine, E</t>
  </si>
  <si>
    <t>Fuentealba, Pablo; Cortes, Catalina; Audebrand, Nathalie; Le Fur, Eric; Paredes-Garcia, Veronica; Venegas-Yazigi, Diego; Manzur, Jorge; Spodine, Evgenia</t>
  </si>
  <si>
    <t>First copper(II) phase M′0.2Mn0.8PS3•0.25H2O and analogous M′ = CoII, NiII and ZnII materials obtained by microwave assisted synthesis</t>
  </si>
  <si>
    <t>M'(0.2)Mn(0.8)PS(3)0.25H(2)O materials are obtained by a mild microwave assisted reaction (M' = Co-II, Ni-II, Cu-II, Zn-II), which permitted us to obtain the first copper(II) bimetallic phase. All these materials have a lower energy gap and antiferromagnetic interactions with lower values of the Weiss constant, than that of the pristine phase MnPS3.</t>
  </si>
  <si>
    <t>Paredes-Garcia, Veronica/C-4415-2011; Manzur, Jorge/H-3824-2013; Venegas-Yazigi, Diego/C-5022-2009</t>
  </si>
  <si>
    <t>Venegas-Yazigi, Diego/0000-0001-7816-2841; Cortes Rubio, Catalina/0000-0002-2929-4802; Fuentealba, Pablo/0000-0003-0581-1243</t>
  </si>
  <si>
    <t>10.1039/c5dt01540e</t>
  </si>
  <si>
    <t>WOS:000357899600005</t>
  </si>
  <si>
    <t>Casanova, J; López, CE; García-Ripoll, JJ; Roos, CF; Solano, E</t>
  </si>
  <si>
    <t>Casanova, J.; Lopez, C. E.; Garcia-Ripoll, J. J.; Roos, C. F.; Solano, E.</t>
  </si>
  <si>
    <t>Quantum tomography in position and momentum space</t>
  </si>
  <si>
    <t>EUROPEAN PHYSICAL JOURNAL D</t>
  </si>
  <si>
    <t>We introduce a method of quantum tomography for a continuous variable system in position and momentum space. We consider a single two-level probe interacting with a quantum harmonic oscillator by means of a class of Hamiltonians, linear in position and momentum variables, during a tunable time span. We study two cases: the reconstruction of the wavefunctions of pure states and the direct measurement of the density matrix of mixed states. We show that our method can be applied to several physical systems where high quantum control can be experimentally achieved.</t>
  </si>
  <si>
    <t>López, Carlos/B-8456-2009; Solano, Enrique/C-2895-2017; Casanova, Jorge/A-6293-2019; Roos, Christian/D-8475-2011; Garcia-Ripoll, Juan Jose/B-8302-2008</t>
  </si>
  <si>
    <t>Casanova, Jorge/0000-0002-6110-671X; Roos, Christian/0000-0001-7121-8259; Garcia-Ripoll, Juan Jose/0000-0001-8993-4624</t>
  </si>
  <si>
    <t>1434-6060</t>
  </si>
  <si>
    <t>1434-6079</t>
  </si>
  <si>
    <t>10.1140/epjd/e2012-30016-6</t>
  </si>
  <si>
    <t>WOS:000308253500004</t>
  </si>
  <si>
    <t>Isaacs, M; Canales, JC; Aguirre, MJ; Estiú, G; Caruso, F; Ferraudi, G; Costamagna, J</t>
  </si>
  <si>
    <t>Electrocatalytic reduction of CO2 by aza-macrocyclic complexes of Ni(II), Co(II), and Cu(II). Theoretical contribution to probable mechanisms</t>
  </si>
  <si>
    <t>INORGANICA CHIMICA ACTA</t>
  </si>
  <si>
    <t>The electrocatalyzed reduction of carbon dioxide was investigated with cobalt(II), nickel(II) and copper(II) complexes of hexaazamacrocycle ligands. The macrocyclic ligands were obtained via the condensation of phenanthroline or bipyridine. The X-ray structure of a triflate derivative was determined and it showed the less common CuN4O2 centrosymmetric octahedral configuration with apically elongated Cu-O bonds. A preference for a neutral, mononuclear, octahedral configuration is exhibited by the planar macrocycle with an extended pi-electron system. Its structure is characterized by shorter Cu-N bonds than those of Cu complexes with saturated macrocycles. The reduction of the complexes has been studied by cyclic voltammetry and UV-Vis spectroscopy. The results show that the metal center in its lower oxidation state, i.e. M(l), is the active site. The metal center is oxidized to M(II) in the presence Of CO2 with the concomitant formation of an adduct between the metal center and M. A further one electron reduction regenerates the catalyst and produces carbon monoxide and/or formic acid. A theoretical model is proposed for a simple mechanism that involves initial coordination of CO2 to the metal center. (C) 2002 Elsevier Science B.V. All rights reserved.</t>
  </si>
  <si>
    <t>Isaacs, Mauricio/N-3027-2013; Aguirre, Maria/A-3935-2013</t>
  </si>
  <si>
    <t>Isaacs Casanova, Mauricio/0000-0003-0503-0949; Canales Villalobos, Juan Carlos/0009-0006-3215-4997; Aguirre, Maria/0000-0003-1134-4469</t>
  </si>
  <si>
    <t>0020-1693</t>
  </si>
  <si>
    <t>1873-3255</t>
  </si>
  <si>
    <t>PII S0020-1693(02)00942-8</t>
  </si>
  <si>
    <t>10.1016/S0020-1693(02)00942-8</t>
  </si>
  <si>
    <t>WOS:000179281100028</t>
  </si>
  <si>
    <t>Nascimento, MD; Marques, A; Gouveia, ER; Ferrari, G; Ihle, A</t>
  </si>
  <si>
    <t>Nascimento, Marcelo de Maio; Marques, Adilson; Gouveia, Elvio Rubio; Ferrari, Gerson; Ihle, Andreas</t>
  </si>
  <si>
    <t>Differential cross-lagged relations of frailty predicting later depression in older women versus men</t>
  </si>
  <si>
    <t>JOURNAL OF HEALTH PSYCHOLOGY</t>
  </si>
  <si>
    <t>This study aimed to investigate autoregressive and lagged associations over 2 years between frailty, depression and quality of life, and to examine sex differences in these longitudinal associations among European men and women aged &gt;= 50 years. The analyses included 10,077 individuals (5589 women) from 12 European countries. Women attested to a higher frailty and depression score and lower quality of life than men. For both sexes, frailty and depression correlated positively cross-sectionally and longitudinally (2 years later), while quality of life correlated negatively with frailty and depression cross-sectionally and longitudinally. With regard to lagged associations, for both men and women, frailty proved to be a predictor of depression 2 years later. In turn, depression did not predict frailty and quality of life 2 years later in women, but it did among men.</t>
  </si>
  <si>
    <t>Gouveia, Elvio/F-9156-2015</t>
  </si>
  <si>
    <t>de Maio Nascimento, Marcelo/0000-0002-3577-3439</t>
  </si>
  <si>
    <t>1359-1053</t>
  </si>
  <si>
    <t>1461-7277</t>
  </si>
  <si>
    <t>2025 APR 15</t>
  </si>
  <si>
    <t>10.1177/13591053251330798</t>
  </si>
  <si>
    <t>WOS:001467820800001</t>
  </si>
  <si>
    <t>Marques, A; Iglésias, B; Ramos, G; Gouveia, ÉR; Ferrari, G; Martins, J; Lagestad, P</t>
  </si>
  <si>
    <t>Marques, Adilson; Iglesias, Beatriz; Ramos, Gil; Gouveia, Elvio R.; Ferrari, Gerson; Martins, Joao; Lagestad, Pal</t>
  </si>
  <si>
    <t>Physical education teachers' knowledge of physical activity recommendations for health promotion in children and adolescents</t>
  </si>
  <si>
    <t>This study aimed to analyse the knowledge of Portuguese physical education (PE) teachers according to the health recommendations for physical activity (PA) for children and adolescents. A total of 764 teachers participated (55.2% men) with a mean age of 48.2 years. Data was collected using answering to an online survey. Teachers were asked about PA's frequency, duration and intensity to achieve the recommended level PA. Chi-square was applied to analyse the associations. The main finding is that PE teachers have a lack of knowledge of the health recommendations of PA. Specifically, only 7.5% of the PE teachers in our study could identify the PA recommendations correctly. The intensity component in the health recommendation is the one in which most PE teachers demonstrate correct knowledge of (60.5%), with significant differences in gender and teaching level. However, significantly fewer PE teachers knew the frequency component in the health recommendations for PA (25%), with significant differences in education level. For the duration component, only 37.6% of teachers knew the recommendations. In light of our findings, it is a concern that PE teachers generally lack knowledge according to children's fulfilment of health recommendations for PA.</t>
  </si>
  <si>
    <t>Martins, João/N-3067-2018; Marques, Adilson/K-4529-2014; Iglesias, Beatriz/JOZ-3446-2023; Ferrari, Gerson/HHM-6173-2022; Gouveia, Elvio/F-9156-2015; Ferrari, Gerson/P-1152-2014</t>
  </si>
  <si>
    <t>Iglesias, Beatriz/0000-0002-6632-9904; Ferrari, Gerson/0000-0003-3177-6576; Ramos, Gil/0009-0003-8158-8175</t>
  </si>
  <si>
    <t>DEC 10</t>
  </si>
  <si>
    <t>10.1038/s41598-023-48522-6</t>
  </si>
  <si>
    <t>WOS:001118820300003</t>
  </si>
  <si>
    <t>Javiero, V; Ijaz, M; Ekpo, S; Adebisi, B; Chen, C; Palacios, P; Azurdia, C; Soto, I; Khalighi, MA</t>
  </si>
  <si>
    <t>Javiero, Vinson; Ijaz, Muhammad; Ekpo, Sunday; Adebisi, Bamidele; Chen, Chen; Palacios, Pablo; Azurdia, Cesar; Soto, Ismael; Khalighi, Mohammad-Ali</t>
  </si>
  <si>
    <t>Investigation of Indoor Atmospheric Attenuation in Visible Light Positioning for Industrial Applications</t>
  </si>
  <si>
    <t>In the past decade, visible light communication (VLC) technology has received increasing attention for numerous applications, including for indoor visible light positioning (VLP). The transmission medium for indoor VLP systems in industrial environments could include smoke particles, oil vapors, water mist, and industrial fumes. This work investigates the indoor atmospheric attenuation on the performance of VLP for industrial environments. The considered VLP technique uses trilateration based on the Cayley-Menger Determinant algorithm. The positioning method uses received signal strength (RSS) to estimate a drone's position. Smoke and fog effects for the indoor atmospheric attenuations have been considered based on visibility (V) ranging from 0.3 km to 1 km. The results show that the positioning error increases from an average value of 6.53 cm for clear air to 46.64 cm in smoke and 46.27 cm in fog attenuation with reduced visibility (V=0.3 km), respectively. The results also show that there is a slightly lower received power in the presence of smoke, as compared to fog, for a given visibility range.</t>
  </si>
  <si>
    <t>Meza, Cesar/D-6948-2014; Palacios Játiva, Pablo/AAE-8235-2019; Chen, Chen/H-7246-2016; EKPO, SUNDAY/AAB-5880-2020; Khalighi, Mohammad/B-9502-2015</t>
  </si>
  <si>
    <t>Adebisi, Bamidele/0000-0001-9071-9120; Khalighi, Mohammad/0000-0002-0522-6688; Palacios, Pablo/0000-0002-3958-503X; Ekpo, Sunday Cookey/0000-0001-9219-3759</t>
  </si>
  <si>
    <t>10.1109/CSNDSP54353.2022.9907984</t>
  </si>
  <si>
    <t>WOS:001331792600152</t>
  </si>
  <si>
    <t>Valdés-Badilla, P; Herrera-Valenzuela, T; Ramirez-Campillo, R; Aedo-Muñoz, E; Báez-San Martín, E; Ojeda-Aravena, A; Branco, BHM</t>
  </si>
  <si>
    <t>Valdes-Badilla, Pablo; Herrera-Valenzuela, Tomas; Ramirez-Campillo, Rodrigo; Aedo-Munoz, Esteban; Baez-San Martin, Eduardo; Ojeda-Aravena, Alex; Magnani Branco, Braulio Henrique</t>
  </si>
  <si>
    <t>Effects of Olympic Combat Sports on Older Adults' Health Status: A Systematic Review</t>
  </si>
  <si>
    <t>The aim of this systematic review was to analyse the studies centered on the effects of Olympic combat sports (OCS [i.e., boxing, fencing, judo, karate, taekwondo, wrestling]) on older adults' physical-functional, physiological, and psychoemotional health status. The review comprised randomised-controlled trials with OCS interventions, including older adults (&gt;= 60 years), and measures of physical-functional, physiological, and/or psychoemotional health. The studies were searched through SCOPUS, PubMed/MEDLINE, Web of Science, PsycINFO, and EBSCO databases until 5 January 2021. The PRISMA-P and TESTEX scales were used to assess the quality of the selected studies. The protocol was registered in PROSPERO (code: CRD42020204034). Twelve OCS intervention studies were found (scored &gt;= 60% for methodological quality), comprising 392 females and 343 males (mean age: 69.6 years), participating in boxing, judo, karate, and taekwondo. The qualitative analysis revealed that compared to controls, OCS training improved muscle strength, cardiorespiratory capacity, agility, balance, movement, attention, memory, mental health, anxiety, and stress tolerance. Meta-analysis was available only for the chair stand test, and an improvement was noted after OCS training compared to control. In conclusion, OCS interventions improves older adults' physical-functional, physiological, and psychoemotional health. Our systematic review confirms that OCS training has high adherence (greater than 80%) in older adults.</t>
  </si>
  <si>
    <t>Branco, Braulio/AAA-1747-2019; Aedo-Muñoz, Esteban/R-5623-2019; Ojeda Aravena, Alex/JRF-5369-2023; Ramirez-Campillo, Rodrigo/M-1258-2016; Herrera-Valenzuela, Tomas/L-1819-2019; Báez, Eduardo/GWU-7673-2022; Magnani Branco, Braulio Henrique/B-8178-2017</t>
  </si>
  <si>
    <t>Ojeda-Aravena, Alex/0000-0002-2406-9622; Aedo-Munoz, Esteban/0000-0003-1544-2824; Ramirez-Campillo, Rodrigo/0000-0003-2035-3279; Valdes-Badilla, Pablo/0000-0002-3948-8280; Magnani Branco, Braulio Henrique/0000-0002-4625-9128; Herrera-Valenzuela, Tomas/0000-0002-5219-5896; Baez San Martin, Eduardo/0000-0002-3881-1015</t>
  </si>
  <si>
    <t>10.3390/ijerph18147381</t>
  </si>
  <si>
    <t>WOS:000676349200001</t>
  </si>
  <si>
    <t>Araya, M; Sepúlveda, F; Villegas, J; Alarcón, L; Burzio, LO; Burzio, VA; Borgna, V</t>
  </si>
  <si>
    <t>Araya, Mariela; Sepulveda, Francisca; Villegas, Jaime; Alarcon, Luis; Burzio, Luis O.; Burzio, Veronica A.; Borgna, Vincenzo</t>
  </si>
  <si>
    <t>Knockdown of Antisense Noncoding Mitochondrial RNA Reduces Tumorigenicity of Patient-Derived Clear Cell Renal Carcinoma Cells in an Orthotopic Xenograft Mouse Model</t>
  </si>
  <si>
    <t>CANCERS</t>
  </si>
  <si>
    <t>Simple Summary The most common form of kidney cancer is clear cell renal cell carcinoma, but its treatment is challenging due to the acquisition of resistance to existing therapies. We propose an alternative potential treatment based on targeting a non-coding RNA of mitochondrial origin, termed antisense non-coding mitochondrial RNA. Supporting this strategy is the data we present in this work, using cell cultures obtained directly from primary and metastatic patient tumors, showing that the treatment causes a stall in cell proliferation in both in vitro and in vivo mouse models, and significantly improve the survival of animals. The results from this study strongly support the use of this strategy for the development of an alternative therapeutic approach for ccRCC patients and potentially other types of renal cancer.Abstract Clear cell renal cell carcinoma (ccRCC) is the most prevalent form of renal cancer and its treatment is hindered by a resistance to targeted therapies, immunotherapies and combinations of both. We have reported that the knockdown of the antisense noncoding mitochondrial RNAs (ASncmtRNAs) with chemically modified antisense oligonucleotides induces proliferative arrest and apoptotic death in tumor cells from many human and mouse cancer types. These studies have been mostly performed in vitro and in vivo on commercially available cancer cell lines and have shown that in mouse models tumor growth is stunted by the treatment. The present work was performed on cells derived from primary and metastatic ccRCC tumors. We established primary cultures from primary and metastatic ccRCC tumors, which were subjected to knockdown of ASncmtRNAs in vitro and in vivo in an orthotopic xenograft model in NOD/SCID mice. We found that these primary ccRCC cells are affected in the same way as tumor cell lines and in the orthotopic model tumor growth was significantly reduced by the treatment. This study on patient-derived ccRCC tumor cells represents a model closer to actual patient ccRCC tumors and shows that knockdown of ASncmtRNAs poses a potential treatment option for these patients.</t>
  </si>
  <si>
    <t>Villegas, Jaime/AAW-5938-2020; Burzio, Veronica/HTP-0034-2023; Borgna, Vincenzo/AAZ-8414-2020</t>
  </si>
  <si>
    <t>Sepulveda, Francisca/0000-0002-8907-8773; Villegas, Jaime/0000-0002-9556-4655; Burzio, Veronica/0000-0002-6491-4640</t>
  </si>
  <si>
    <t>2072-6694</t>
  </si>
  <si>
    <t>10.3390/cancers16040830</t>
  </si>
  <si>
    <t>WOS:001172540100001</t>
  </si>
  <si>
    <t>Mayorga-Weber, G; Beltrán, FA; Torres, L; Troncoso-Escudero, P; Villalobos-González, J; Lara, M; Covarrubias-Pinto, A; Valdivia, S; Vicencio, I; Papic, E; Rojas, A; Lamberti, L; Court, F; Rosas-Arellano, A; Batiz, F; Rojas, P; Castro, MA</t>
  </si>
  <si>
    <t>Mayorga-Weber, G.; Beltran, F. A.; Torres, L.; Troncoso-Escudero, P.; Villalobos-Gonzalez, J.; Lara, M.; Covarrubias-Pinto, A.; Valdivia, S.; Vicencio, I.; Papic, E.; Rojas, A.; Lamberti, L.; Court, F.; Rosas-Arellano, A.; Batiz, F.; Rojas, P.; Castro, M. A.</t>
  </si>
  <si>
    <t>Altered secretion of astrocyte-derived extracellular vesicles contribute to the early metabolic failure and redox imbalance in Huntington's disease</t>
  </si>
  <si>
    <t>GLIA</t>
  </si>
  <si>
    <t>16th European Meeting on Glial Cells in Health and Disease</t>
  </si>
  <si>
    <t>JUL 08-11, 2023</t>
  </si>
  <si>
    <t>Berlin, GERMANY</t>
  </si>
  <si>
    <t>Covarrubias, Adriana/MTB-7398-2025; papic, eduardo/MYR-4309-2025</t>
  </si>
  <si>
    <t>0894-1491</t>
  </si>
  <si>
    <t>1098-1136</t>
  </si>
  <si>
    <t>T11-025</t>
  </si>
  <si>
    <t>E548</t>
  </si>
  <si>
    <t>WOS:001191372500448</t>
  </si>
  <si>
    <t>Aimar, N; Dmytriiev, A; Vincent, FH; El Mellah, I; Paumard, T; Perrin, G; Zech, A</t>
  </si>
  <si>
    <t>Aimar, N.; Dmytriiev, A.; Vincent, F. H.; El Mellah, I.; Paumard, T.; Perrin, G.; Zech, A.</t>
  </si>
  <si>
    <t>Magnetic reconnection plasmoid model for Sagittarius A* flares</t>
  </si>
  <si>
    <t>Context. Sagittarius A*, the supermassive black hole at the center of our Galaxy, exhibits episodic near-infrared flares. The recent monitoring of three such events with the GRAVITY instrument has shown that some flares are associated with orbital motions in the close environment of the black hole. The GRAVITY data analysis indicates a super-Keplerian azimuthal velocity, while (sub-) Keplerian velocity is expected for the hot flow surrounding the black hole.Aims. We develop a semi-analytic model of the Sagittarius A* flares based on an ejected large plasmoid, inspired by recent particle-in-cell global simulations of black hole magnetospheres. We model the infrared astrometric and photometric signatures associated with this model.Methods. We considered a spherical macroscopic hot plasma region that we call a large plasmoid. This structure was ejected along a conical orbit in the vicinity of the black hole. This plasmoid was assumed to be formed by successive mergers of smaller plasmoids produced through magnetic reconnection that we did not model. Nonthermal electrons were injected into the plasmoid. We computed the evolution of the electron-distribution function under the influence of synchrotron cooling. We solved the radiative transfer problem associated with this scenario and transported the radiation along null geodesics of the Schwarzschild space time. We also took the quiescent radiation of the accretion flow into account, on top of which the flare evolves.Results. For the first time, we successfully account for the astrometric and flux variations of the GRAVITY data with a flare model that incorporates an explicit modeling of the emission mechanism. The prediction of our model and recent data agree well. In particular, the azimuthal velocity of the plasmoid is set by the magnetic field line to which it belongs, which is anchored in the inner parts of the accretion flow, hence the super-Keplerian motion. The astrometric track is also shifted with respect to the center of mass due to the quiescent radiation, in agreement with the difference measured with the GRAVITY data.Conclusions. These results support the hypothesis that magnetic reconnection in a black hole magnetosphere is a viable model for the infrared flares of Sagittarius A*.</t>
  </si>
  <si>
    <t>Zech, Andreas/ABB-3040-2021</t>
  </si>
  <si>
    <t>Vincent, Frederic/0000-0002-9214-0830; Aimar, Nicolas/0000-0001-5710-452X; Perrin, Guy/0000-0003-0680-0167; EL MELLAH, Ileyk/0000-0003-1075-0326; Dmytriiev, Anton/0000-0003-0102-5579</t>
  </si>
  <si>
    <t>MAR 31</t>
  </si>
  <si>
    <t>A62</t>
  </si>
  <si>
    <t>10.1051/0004-6361/202244936</t>
  </si>
  <si>
    <t>WOS:000989420100011</t>
  </si>
  <si>
    <t>Hermoso, V; Salgado-Rojas, J; Lanzas, M; Alvarez-Miranda, E</t>
  </si>
  <si>
    <t>Hermoso, Virgilio; Salgado-Rojas, Jose; Lanzas, Monica; Alvarez-Miranda, Eduardo</t>
  </si>
  <si>
    <t>Spatial prioritisation of management for biodiversity conservation across the EU</t>
  </si>
  <si>
    <t>BIOLOGICAL CONSERVATION</t>
  </si>
  <si>
    <t>The last report on the State of the Nature in the European Union (EU), a periodic monitoring exercise at continental scale, shows that biodiversity continues to decline, despite the efforts done in the last decades. Urgent action is, therefore, needed to reverse this trend. Effective conservation must rely on careful planning and strategic investment of limited resources to maximise efficiency of conservation efforts. Here, we carry out a gap analysis to identify pressures and threats with no reported management action over the period 2013-2018 and identify priorities to close this gap. We use information from the State of Nature report to identify combinations of species/habitats x pressures/threats affecting them with no management action reported. We finally prioritise the selection of pressures and threats to be addressed for all species and habitats collectively. We found that 2/3 of all combinations of species/habitat x pressure/threat did not have management actions reported. Management gaps were especially large for birds, amphibians and reptiles and marine bioregions in northern EU. This management gap affects 98 % of Natura 2000 sites, with at least one species/habitat with no management action reported for one or more pressures/threats. The spatial prioritisation analyses showed that all species and habitats could benefit collectively from a reduction in 30 % of pressures/threats incidence by targeting a small proportion of pressures/threats and Natura 2000 sites. The prioritisation approach that we demonstrate here could be valuable to plan investment to close the current management gap and inform conservation across the EU.</t>
  </si>
  <si>
    <t>Álvarez-Miranda, Eduardo/AGP-0481-2022; Salgado-Rojas, José/HSH-5156-2023; Lopez, Virgilio/H-8276-2015</t>
  </si>
  <si>
    <t>Salgado-Rojas, Jose/0000-0001-9817-2625; Lanzas, Monica/0000-0001-6098-0176</t>
  </si>
  <si>
    <t>0006-3207</t>
  </si>
  <si>
    <t>1873-2917</t>
  </si>
  <si>
    <t>10.1016/j.biocon.2022.109638</t>
  </si>
  <si>
    <t>WOS:000823090300002</t>
  </si>
  <si>
    <t>Zubieta, E; García, F; del Palacio, S; Furlan, SBA; Gancio, G; Lousto, CO; Combi, JA; Espinoza, CM</t>
  </si>
  <si>
    <t>Zubieta, E.; Garcia, F.; del Palacio, S.; Furlan, S. B. Araujo; Gancio, G.; Lousto, C. O.; Combi, J. A.; Espinoza, C. M.</t>
  </si>
  <si>
    <t>Timing irregularities and glitches from the pulsar monitoring campaign at IAR</t>
  </si>
  <si>
    <t>Context. Pulsars have a very stable rotation overall. However, sudden increases in their rotation frequency, known as glitches, perturb their evolution. While many observatories commonly detect large glitches, small glitches are harder to detect because of the lack of daily cadence observations over long periods of time (years). Aims. We aim to explore and characterise the timing behaviour of young pulsars on daily timescales, looking for small glitches and other irregularities, in order to further our comprehension of the real distribution of glitch sizes. Our findings have consequences for the theoretical modelling of the glitch mechanism. Methods. We observed six pulsars with up to daily cadence between December 2019 and January 2024 with the two antennas of the Argentine Institute of Radio Astronomy (IAR). We used standard pulsar timing tools to obtain the times of arrival of the pulses and to characterise the pulsar's rotation. We developed an algorithm to look for small timing events in the data and calculate the changes in the frequency (nu) and its derivative ((nu)over dot) at those epochs. Results. We find that the rotation of all pulsars in this dataset is affected by small step changes in nu and (nu)over dot. Among them, we find three new glitches that have not been reported before. two glitches in PSR J1048-5832 with relative sizes of Delta nu/nu = 9.1(4) x 10(-10) and Delta nu/nu = 4.5(1) x 10(-9), and one glitch in the Vela pulsar with a size of Delta nu/nu = 2.0(2) x 10(-10). We also report new decay terms on the 2021 Vela giant glitch, and on the 2022 giant glitches in PSR J0742-2822 and PSR J1740-3015, respectively. In addition, we find that the red noise contribution significantly diminished in PSR J0742-2822 after its giant glitch in 2022. Conclusions. Our results highlight the importance of high-cadence monitoring with an exhaustive analysis of the residuals to better characterise the distribution of glitch sizes and to deepen our understanding of the mechanisms behind glitches, red noise, and timing irregularities.</t>
  </si>
  <si>
    <t>Espinoza, Cristobal/U-4428-2017</t>
  </si>
  <si>
    <t>Espinoza, Cristobal/0000-0003-2481-2348; Araujo Furlan, Susana Beatriz/0000-0003-4027-4826; Zubieta, Ezequiel/0009-0009-5593-367X; Lousto, Carlos/0000-0002-6400-9640; Garcia, Federico/0000-0001-9072-4069</t>
  </si>
  <si>
    <t>SEP 12</t>
  </si>
  <si>
    <t>A191</t>
  </si>
  <si>
    <t>10.1051/0004-6361/202450441</t>
  </si>
  <si>
    <t>WOS:001400091800012</t>
  </si>
  <si>
    <t>Garcia, AM; de Leon, J; Tee, BL; Blasi, DE; Gorno-Tempini, ML</t>
  </si>
  <si>
    <t>Garcia, Adolfo M.; de Leon, Jessica; Tee, Boon Lead; Blasi, Damian E.; Gorno-Tempini, Maria Luisa</t>
  </si>
  <si>
    <t>Speech and language markers of neurodegeneration: a call for global equity</t>
  </si>
  <si>
    <t>BRAIN</t>
  </si>
  <si>
    <t>In the field of neurodegeneration, speech and language assessments are useful for diagnosing aphasic syndromes and for characterizing other disorders. As a complement to classic tests, scalable and low-cost digital tools can capture relevant anomalies automatically, potentially supporting the quest for globally equitable markers of brain health. However, this promise remains unfulfilled due to limited linguistic diversity in scientific works and clinical instruments.Here we argue for cross-linguistic research as a core strategy to counter this problem.First, we survey the contributions of linguistic assessments in the study of primary progressive aphasia and the three most prevalent neurodegenerative disorders worldwide-Alzheimer's disease, Parkinson's disease, and behavioural variant frontotemporal dementia. Second, we address two forms of linguistic unfairness in the literature: the neglect of most of the world's 7000 languages and the preponderance of English-speaking cohorts. Third, we review studies showing that linguistic dysfunctions in a given disorder may vary depending on the patient's language and that English speakers offer a suboptimal benchmark for other language groups. Finally, we highlight different approaches, tools and initiatives for cross-linguistic research, identifying core challenges for their deployment.Overall, we seek to inspire timely actions to counter a looming source of inequity in behavioural neurology. Garcia et al. argue that speech and language research on neurodegeneration is undermined by limited linguistic diversity and by the predominance of English-speaking cohorts. They maintain that this can create new forms of global inequity, and outline cross-linguistic approaches, tools, and initiatives to counter the problem.</t>
  </si>
  <si>
    <t>García, Adolfo/E-7150-2017; Mastrangelo, Mario/G-6519-2018; Blasi, Damian/IAM-5608-2023</t>
  </si>
  <si>
    <t>0006-8950</t>
  </si>
  <si>
    <t>1460-2156</t>
  </si>
  <si>
    <t>10.1093/brain/awad253</t>
  </si>
  <si>
    <t>OCT 2023</t>
  </si>
  <si>
    <t>WOS:001082950500001</t>
  </si>
  <si>
    <t>Abrigo, J; Simon, F; Cabrera, D; Vilos, C; Cabello-Verrugio, C</t>
  </si>
  <si>
    <t>Abrigo, Johanna; Simon, Felipe; Cabrera, Daniel; Vilos, Cristian; Cabello-Verrugio, Claudio</t>
  </si>
  <si>
    <t>Combined Administration of Andrographolide and Angiotensin- (1-7) Synergically Increases the Muscle Function and Strength in Aged Mice</t>
  </si>
  <si>
    <t>CURRENT MOLECULAR MEDICINE</t>
  </si>
  <si>
    <t>Background: Sarcopenia is a progressive and generalized skeletal muscle disorder characterized by muscle weakness, loss of muscle mass, and decline in the capacity of force generation. Aging can cause sarcopenia. Several therapeutic strategies have been evaluated to prevent or alleviate this disorder. One of them is angiotensin 1-7 [Ang-(1-7)], an anti-atrophic peptide for skeletal muscles that regulates decreased muscle mass for several causes, including aging. Another regulator of muscle mass and function is andrographolide, a bicyclic diterpenoid lactone that decreases the nuclear factor kappa B (NF-kappa B) signaling and attenuates the severity of some muscle diseases. Objective: Evaluate the effect of combined administration of Ang-(1-7) with andrographolide on the physical performance, muscle strength, and fiber ' s diameter in a murine model of sarcopenia by aging. Methods: Aged male mice of the C57BL/6J strain were treated with Andrographolide, Ang-(1-7), or combined for three months. The physical performance, muscle strength, and fiber ' s diameter were measured. Results: The results showed that aged mice (24 months old) treated with Ang-(1-7) or Andrographolide improved their performance on a treadmill test, muscle strength, and their fiber ' s diameter compared to aged mice without treatment. The combined administration of Ang-(1-7) with andrographolide to aged mice has an enhanced synergically effect on physical performance, muscle strength, and fiber ' s diameter. Conclusion: Our results indicated that in aged mice, the effects of andrographolide and Ang-(1-7) on muscle function, strength, and fiber ' s diameter are potentiated.</t>
  </si>
  <si>
    <t>Vilos, Cristian/KPA-9958-2024; Cabello-Verrugio, Claudio/AAD-1454-2020; CABRERA, DANIEL/AAR-5027-2020</t>
  </si>
  <si>
    <t>Simon, Felipe/0000-0002-2653-9798; Vilos, Cristian/0000-0001-5619-3348; Cabello-Verrugio, Claudio/0000-0001-7273-2102; Abrigo, Johanna/0000-0002-5598-513X; Cabrera, Daniel/0000-0001-9634-725X</t>
  </si>
  <si>
    <t>1566-5240</t>
  </si>
  <si>
    <t>1875-5666</t>
  </si>
  <si>
    <t>10.2174/1566524021666211207112106</t>
  </si>
  <si>
    <t>WOS:000834105200007</t>
  </si>
  <si>
    <t>Ezzatvar, Y; Izquierdo, M; Ramírez-Vélez, R; Cruz, BD; García-Hermoso, A</t>
  </si>
  <si>
    <t>Ezzatvar, Yasmin; Izquierdo, Mikel; Ramirez-Velez, Robinson; Cruz, Borja del Pozo; Garcia-Hermoso, Antonio</t>
  </si>
  <si>
    <t>Accuracy of different cutoffs of the waist-to-height ratio as a screening tool for cardiometabolic risk in children and adolescents: A systematic review and meta-analysis of diagnostic test accuracy studies</t>
  </si>
  <si>
    <t>OBESITY REVIEWS</t>
  </si>
  <si>
    <t>The present systematic review with meta-analysis sought to estimate the accuracy of different waist-to-height ratio (WHtR) cutoff ranges as risk indicators for cardiometabolic health in different populations of children and adolescents. Systematic searches were undertaken to identify studies in apparently healthy participants aged 3-18 years that conducted receiver operating characteristic curve analysis and reported area under the receiver operating characteristic curves for WHtR with any cardiometabolic biomarker. Forty-one cross-sectional studies were included in the meta-analysis, including 138,561 young individuals (50% girls). Higher area under summary receiver operating characteristic (AUSROC) values were observed in cutoffs between 0.46 and 0.50 (AUSROC = 0.83, 95%CI: 0.80-0.86) and &gt;= 0.51 (AUSROC = 0.87, 95%CI: 0.84-0.90) (p &lt; 0.001 in comparison with cutoffs 0.41 to 0.45), with similar results in both sexes. The AUSROC value increased in the East and Southeast Asian regions using a WHtR cutoff of &gt;= 0.46 (AUSROC = 0.90, 95%CI: 0.87 to 0.92). A cutoff of &gt;= 0.54 was optimal for the Latin American region (AUSROC = 0.96, 95%CI: 0.94-0.97). Our meta-analysis identified optimal cutoff values of WHtR for use in children and adolescents from different regions. Despite the widely accepted WHtR cutoff of 0.50, the present study indicated that a single cutoff value of WHtR may be inappropriate.</t>
  </si>
  <si>
    <t>García-Hermoso, Antonio/ADU-2591-2022; Ezzatvar, Yasmin/ABC-9574-2020; Izquierdo, Mikel/A-4894-2010; Ramirez-Velez, Robinson/D-5311-2016; Garcia-Hermoso, Antonio/P-1857-2017; del Pozo Cruz, Borja/IAM-4325-2023</t>
  </si>
  <si>
    <t>Izquierdo, Mikel/0000-0002-1506-4272; Ramirez-Velez, Robinson/0000-0003-3075-6960; Garcia-Hermoso, Antonio/0000-0002-1397-7182; del Pozo Cruz, Borja/0000-0003-3944-2212; Ezzatvar, Yasmin/0000-0002-9691-5998</t>
  </si>
  <si>
    <t>1467-7881</t>
  </si>
  <si>
    <t>1467-789X</t>
  </si>
  <si>
    <t>e13375</t>
  </si>
  <si>
    <t>10.1111/obr.13375</t>
  </si>
  <si>
    <t>NOV 2021</t>
  </si>
  <si>
    <t>WOS:000715662100001</t>
  </si>
  <si>
    <t>Briones, X; Villalobos, V; Queneau, Y; Danna, CS; Muñoz, R; Ríos, HE; Pavez, J; Páez, M; Cabrera, R; Tamayo, L; Urzúa, MD</t>
  </si>
  <si>
    <t>Briones, Ximena; Villalobos, Valeria; Queneau, Yves; Silva Danna, Caroline; Munoz, Rodrigo; Rios, Hernan E.; Pavez, Jorge; Paez, Maritza; Cabrera, Ricardo; Tamayo, Laura; Urzua, Marcela D.</t>
  </si>
  <si>
    <t>Surfaces based on amino acid functionalized polyelectrolyte films towards active surfaces for enzyme immobilization</t>
  </si>
  <si>
    <t>MATERIALS SCIENCE AND ENGINEERING C-MATERIALS FOR BIOLOGICAL APPLICATIONS</t>
  </si>
  <si>
    <t>Surface based on polyelectrolytes functionalized with amino acids onto amino-terminated solid surfaces of silicon wafers was prepared, with the purpose of evaluate the chemical functionality of the polyelectrolyte films in adsorption and catalytic activity of an enzyme. In this work, the adsorption of the enzyme glucose 6-phosphate dehydrogenase from Leuconostoc mesenteroides (LmG6PD) was studied as model. The polyelectrolytes were obtained from poly (maleic anhydride-alt-vinylpyrrolidone) [poly(MA-alt-VP)] and functionalized with amino acids of different hydropathy index: glutamine (Gln), tyrosine (Tyr) and methionine (Met). The polyelectrolytes were adsorbed onto the amino-terminated silicon wafer at pH 3.5 and 4.5 and at low and high ionic strength. At low ionic strength and pH 3.5, the largest quantity of adsorbed polyelectrolyte was on the films containing glutamine moiety as the most hydrophilic amino acid in the side chain of polymer chain (5.88 mg/m(2)), whereas at high ionic strength and pH 4.5, the lowest quantity was in films containing tyrosine moiety in the side chain (1.88 mg/m(2)). The films were characterized by ellipsometry, contact angle measurements and atomic force microscopy (AFM). The polyelectrolyte films showed a moderate degree of hydrophobicity, the methionine derivative being the most hydrophobic film. With the aim of evaluate the effect of the amino acid moieties on the ability of the surface to adsorb enzymes, we study the activity of the enzyme on these surfaces. We observed that the polarity of the side chain of the amino acid in the polyelectrolyte affected the quantity of LmG6PD adsorbed, as well as its specific activity, showing that films prepared from poly(MA-alt-VP) functionalized with Met provide the best enzymatic performance. The results obtained demonstrated that the surfaces prepared from polyelectrolytes functionalized with amino acids could be an attractive and simple platform for the immobilization of enzymes, which could be of interest for biocatalysis applications.</t>
  </si>
  <si>
    <t>Urzúa, Marcela/E-1429-2014; Tamayo, Laura/I-8942-2018; Cabrera, Ricardo/H-8132-2014; BRIONES, XIMENA/G-3554-2016; Villalobos, Valeria/JVN-0056-2024; Paez, Maritza/M-2010-2014; Queneau, Yves/HLX-0773-2023; PAVEZ, JORGE/K-6904-2014; Silva Danna, Caroline/L-5560-2018</t>
  </si>
  <si>
    <t>PAVEZ, JORGE/0000-0002-5100-6707; Munoz-Gonzalez, Rodrigo/0000-0003-2266-5014; Cabrera, Ricardo/0000-0002-8896-3172; Urzua Acevedo, Marcela Del Pilar/0000-0002-2371-620X; /0000-0002-1894-2384; BRIONES, XIMENA/0000-0003-2343-260X; paez, maritza/0000-0001-5881-884X; Tamayo, Laura/0000-0003-1159-5305; Queneau, Yves/0000-0003-4052-061X; Silva Danna, Caroline/0000-0001-8188-9419</t>
  </si>
  <si>
    <t>0928-4931</t>
  </si>
  <si>
    <t>1873-0191</t>
  </si>
  <si>
    <t>10.1016/j.msec.2019.109938</t>
  </si>
  <si>
    <t>WOS:000487569300100</t>
  </si>
  <si>
    <t>Calvo, N; Ibáñez, A; Muñoz, E; García, AM</t>
  </si>
  <si>
    <t>Calvo, Noelia; Ibanez, Agustin; Munoz, Edinson; Garcia, Adolfo M.</t>
  </si>
  <si>
    <t>A core avenue for transcultural research on dementia: on the cross-linguistic generalization of language-related effects in Alzheimer's disease and Parkinson's disease</t>
  </si>
  <si>
    <t>INTERNATIONAL JOURNAL OF GERIATRIC PSYCHIATRY</t>
  </si>
  <si>
    <t>ObjectiveLanguage is a key source of cross-cultural variability, which may have both subtle and major effects on neurocognition. However, this issue has been largely overlooked in two flourishing lines of research assessing the relationship between language-related neural systems and dementia. This paper assesses the limitations of the evidence on (i) the neuroprotective effects of bilingualism in Alzheimer's disease and (ii) specific language deficits as markers of Parkinson's disease. DesignFirst, we outline the rationale behind each line of research. Second, we review available evidence and discuss the potential impact of cross-linguistic factors. Third, we outline ideas to foster progress in both fields and, with it, in cross-cultural neuroscience at large. ResultsOn the one hand, studies on bilingualism suggest that sustained use of more than one language may protect against Alzheimer's disease symptoms. On the other hand, insights from the embodied cognition framework point to syntactic and action-verb deficits as early (and even preclinical) markers of Parkinson's disease. However, both fields share a key limitation that lies at the heart of cultural neuroscience: the issue of cross-linguistic generalizability. ConclusionRelevant evidence for both research trends comes from only a handful of (mostly Indo-European) languages, which are far from capturing the full scope of structural and typological diversity of the linguistic landscape worldwide. This raises questions on the external validity of reported findings. Greater collaboration between linguistic typology and cognitive neuroscience seems crucial as a first step to assess the impact of transcultural differences on language-related effects across neurodegenerative diseases. Copyright (c) 2017 John Wiley &amp; Sons, Ltd.</t>
  </si>
  <si>
    <t>Ibanez, Agustin/0000-0001-6758-5101; Calvo, PhD, Noelia/0000-0003-4202-9314; Munoz, Edinson/0000-0001-9949-1230</t>
  </si>
  <si>
    <t>0885-6230</t>
  </si>
  <si>
    <t>1099-1166</t>
  </si>
  <si>
    <t>10.1002/gps.4712</t>
  </si>
  <si>
    <t>WOS:000431651400003</t>
  </si>
  <si>
    <t>Valdés-Badilla, P; Guzmán-Muñoz, E; Herrera-Valenzuela, T; Branco, BHM; Hernandez-Martinez, J; Nobari, H</t>
  </si>
  <si>
    <t>Valdes-Badilla, Pablo; Guzman-Munoz, Eduardo; Herrera-Valenzuela, Tomas; Branco, Braulio Henrique Magnani; Hernandez-Martinez, Jordan; Nobari, Hadi</t>
  </si>
  <si>
    <t>Impact of adapted taekwondo vs. multicomponent training on health status in independent older women: a randomized controlled trial</t>
  </si>
  <si>
    <t>This study, called the TKD and Aging Project, aimed to analyze and compare the effects of an adapted taekwondo program concerning multicomponent training on blood pressure, morphological variables, food consumption frequency, health-related quality of life (HRQoL), physical fitness, handgrip strength, and postural balance in independent older women. A randomized controlled trial study was conducted with parallel groups for 8 weeks (24 sessions of 60 min each), employing a double-blind design and incorporating repeated measures. Twenty-eight older women initially participated in the intervention. Three participants were excluded because they did not participate in the re-assessments. Thus, 14 older women from the adapted taekwondo group (TKD; age: 62.86 +/- 2.38 years) and 11 from the multicomponent training group (MCT; age: 63.18 +/- 1.94 years) participated in the final analysis. A two-factor mixed analysis of variance (ANOVA) model with repeated measures was performed to measure the time x group effect. The TKD showed significant improvements in the mental health (p = 0.024; ES = 0.91) and general health (p &lt; 0.001; ES = 0.75) dimensions of the HRQoL, as well as in the chair stand (p = 0.001; ES = 1.18), arm curl (p &lt; 0.001; ES = 2.10), 2-min step (p &lt; 0.001; ES = 1.73), and chair sit-and-reach (p = 0.001; ES = 0.91) tests. Additionally, it showed a significant reduction in postural balance for the eyes-closed condition in the center of the pressure area (p = 0.021; ES = 0.89), mean velocity (p = 0.004; ES = 0.79), and mediolateral velocity (p &lt; 0.001; ES = 1.26). However, the MCT showed significant increases in the general health (p = 0.013; ES = 0.95) dimension of the HRQoL and a significant reduction (p = 0.039; ES = 0.28) in the mediolateral velocity of postural balance for the eyes-closed condition. Multiple comparisons showed that the TKD scored significantly higher in the chair stand (p = 0.017; ES = 1.79), arm curl (p = 0.003; ES = 1.77), and 2-min step (p = 0.018; ES = 0.91) tests than the MCT. Compared to multicomponent training, taekwondo improves postural balance and provides better benefits in terms of physical fitness and HRQoL for older women. Therefore, it is possible to recommend it as a safe physical activity strategy, as long as it is well-dosed, since it showed high adherence to intervention in older women.</t>
  </si>
  <si>
    <t>Branco, Braulio/AAA-1747-2019; Hernandez-Martinez, Jordan/AAK-5115-2020; Herrera-Valenzuela, Tomas/L-1819-2019; Magnani Branco, Braulio Henrique/B-8178-2017; Nobari, Hadi/AAO-9721-2021</t>
  </si>
  <si>
    <t>Magnani Branco, Braulio Henrique/0000-0002-4625-9128; Nobari, Hadi/0000-0001-7951-8977; Guzman-Munoz, Eduardo/0000-0001-7001-9004</t>
  </si>
  <si>
    <t>OCT 10</t>
  </si>
  <si>
    <t>10.3389/fpubh.2023.1236402</t>
  </si>
  <si>
    <t>WOS:001090999400001</t>
  </si>
  <si>
    <t>Cruz, C; Carvallo, AIV; Spodine, E; Escuer, A; Marco, JF; Menéndez, N; Venegas-Yazigi, D; Paredes-García, V</t>
  </si>
  <si>
    <t>Cruz, Carlos; Vega Carvallo, Andres Igor; Spodine, Evgenia; Escuer, Albert; Marco, Jose F.; Menendez, Nieves; Venegas-Yazigi, Diego; Paredes-Garcia, Veronica</t>
  </si>
  <si>
    <t>New Highly Charged Iron(III) Metal-Organic Cube Stabilized by a Bulky Amine</t>
  </si>
  <si>
    <t>ACS OMEGA</t>
  </si>
  <si>
    <t>In this work, we report a new octanuclear cluster based on FeIII and the ligand 1H-imidazole-4,5-dicarboxylic acid, [Et3NH](12)[Fe-8(IDC)(12)]center dot 10DMF center dot 13H(2)O (1), with a metal core containing eight Fe-III connected by only one type of organic ligand. A peak at 573 m/z in the mass spectra of the compound suggests the adduct species {[Fe-8(IDC)(12)]+8H}(4-). By X-ray photoelectron spectroscopy, the oxidation state of the iron cation was confirmed to be 3+, also identifying the presence of a quaternary nitrogen species, which act as a countercation of the anionic metal core [Fe-8(IDC)(12)](12-). Mossbauer spectra recorded at different temperatures show an isomer shift and quadrupole splitting parameters that confirm the existence of only Fe-III-HS in the structure of 1. X-ray analysis reveals that compound 1 crystallizes in the orthorhombic system space group Ibam, confirming a molecular cluster structure with an almost regular cube as geometry, with the Fe-III atoms located at the corners of the cube and connected by mu-1 kappa N-2,O:2 kappa N-2',O '''-IDC3- bridges. Additionally, the magnetic measurements reveal a weak antiferromagnetic coupling in the Fe-8(III) coordination cluster (J = -3.8 cm(-1)). To the best of our knowledge, 1 is the first member of the family of cubes assembled with 1H-imidazole-4,5-dicarboxylic acid and Fe-III cation, exhibiting high pH stability over a broad pH range, making it an ideal candidate for the design of supramolecular structures and metal-organic frameworks.</t>
  </si>
  <si>
    <t>Cruz, Carlos/KIG-8993-2024; Vega, Andres/B-2122-2010; Paredes-Garcia, Veronica/C-4415-2011; Menendez, Nieves/L-4611-2013; Escuer, Albert/L-4706-2014; Marco, JF/N-3176-2014; Venegas-Yazigi, Diego/C-5022-2009</t>
  </si>
  <si>
    <t>Menendez, Nieves/0000-0001-6357-1597; Escuer, Albert/0000-0002-6274-6866; Marco, JF/0000-0002-5147-1449; Venegas-Yazigi, Diego/0000-0001-7816-2841; Vega, Andres/0000-0001-6501-4161; Cruz Herrera, Carlos/0000-0002-2644-4297</t>
  </si>
  <si>
    <t>2470-1343</t>
  </si>
  <si>
    <t>SEP 8</t>
  </si>
  <si>
    <t>10.1021/acsomega.0c02420</t>
  </si>
  <si>
    <t>WOS:000570009400026</t>
  </si>
  <si>
    <t>Villegas-Menares, A; Hansmann, YS; Bayas, M; Verdugo, C; Erazo, I; Zuñiga, C; Gonzalez, I; Galdámez, A; Villa, L; Natali, M; Cabrera, AR</t>
  </si>
  <si>
    <t>Villegas-Menares, Alondra; Hansmann, Yannik Sebastian; Bayas, Max; Verdugo, Camilo; Erazo, Ignacio; Zuniga, Cesar; Gonzalez, Ivan; Galdamez, Antonio; Villa, Lucrezia; Natali, Mirco; Cabrera, Alan R.</t>
  </si>
  <si>
    <t>Exploring catalytic activity modulations: photoredox catalysis with substituted copper(i)-dipyridylamine derivatives</t>
  </si>
  <si>
    <t>In this work, we have successfully synthesized five new heteroleptic copper(i) complexes (C1-5), bearing N,N ligands derived from dipyridylamine and S-BINAP as the P,P auxiliary ligand. All complexes were structurally characterized using NMR, FT-IR, and elemental analysis. Furthermore, the molecular structures of C1, C4, and C5 were determined via X-ray diffraction analysis. The photophysical properties of all complexes were assessed using UV-Vis spectroscopy and spectrofluorometric measurements in dichloromethane solution and the solid state. All complexes displayed absorption bands at lower energies, attributed to spin-allowed MLCT transitions. In degassed dichloromethane solution at room temperature, all complexes exhibited broad luminescence in the visible spectrum, mainly assigned to MLCT/LLCT phosphorescence, with excited state lifetimes in the mu s time regime. Besides, all complexes were assessed as photoredox catalysts in chlorosulfonylation and bromonitromethylation reactions of styrene, showing remarkable performances, thus highlighting the privileged role of the dpa ligand for the design of Earth-abundant metal photocatalysts.</t>
  </si>
  <si>
    <t>Villegas, Alondra/LTZ-2509-2024; Galdámez, Antonio/H-7404-2013; Zúñiga-Loyola, César/AAN-5621-2021</t>
  </si>
  <si>
    <t>Zuniga-Loyola, Cesar/0000-0002-0894-3383</t>
  </si>
  <si>
    <t>2025 APR 7</t>
  </si>
  <si>
    <t>10.1039/d4dt03337j</t>
  </si>
  <si>
    <t>WOS:001462118900001</t>
  </si>
  <si>
    <t>Rosaiah, P; Harikrishnan, L; Radhalayam, D; Karim, MR; Vattikuti, SVP; Prakash, NG; Ko, TJ</t>
  </si>
  <si>
    <t>Rosaiah, P.; Harikrishnan, Leelavathi; Radhalayam, Dhanalakshmi; Karim, Mohammad Rezaul; Vattikuti, S. V. Prabhakar; Prakash, Nunna Guru; Ko, Tae Jo</t>
  </si>
  <si>
    <t>Hierarchical construction of ZnBi2O4 anchored on flower-like Bi2WO6 heterojunction photocatalyst for removal of alizarin red S</t>
  </si>
  <si>
    <t>SURFACES AND INTERFACES</t>
  </si>
  <si>
    <t>In this study, we investigated the fabrication and photocatalytic performance of ZnBi2O4@Bi2WO6 nanocomposites for the degradation of organic pollutants. The nanocomposites were synthesized via a hydrothermal method followed by ultrasonic treatment, resulting in a unique composite structure. X-ray diffraction (XRD) confirmed successful material synthesis, and scanning electron microscopy (SEM) revealed the morphologies of Bi2WO6 nanoflowers and ZnBi2O4 nanocubes, with the composites exhibiting a hybrid network-like structure. UV-visible spectroscopy showed a significant redshift in the optical absorption edge, indicating that ZnBi2O4 incorporation effectively reduced the band gap of the nanocomposite, enhancing its visible light absorption. Photoluminescence (PL) spectroscopy demonstrated that the nanocomposites promoted efficient charge separation and minimized recombination, critical factors for improved photocatalytic performance. Under visible light, the ZnBi2O4@Bi2WO6 nanocomposites achieved a degradation efficiency of 96.8 % for alizarin red S (ARS), following pseudo-first-order kinetics. The composites also exhibited excellent stability, with only a 6.05 % loss in activity after five degradation cycles, confirming their long-term durability. Trapping experiments identified hydroxyl radicals (&amp; sdot;OH), holes (h+), and electrons (e-) as active species in the degradation mechanism. Overall, ZnBi2O4@Bi2WO6 nanocomposites show strong potential as efficient and stable photocatalysts for removing hazardous organic pollutants from wastewater, offering a sustainable solution for environmental cleanup.</t>
  </si>
  <si>
    <t>Nunna, Guru Prakash/AFO-6502-2022; HARIKRISHNAN, LEELAVATHI/AHC-1783-2022; Karim, Mohammad/AAL-7197-2021; Karim, Mohammad Rezaul/D-7307-2012</t>
  </si>
  <si>
    <t>Karim, Mohammad Rezaul/0000-0002-4567-6069</t>
  </si>
  <si>
    <t>2468-0230</t>
  </si>
  <si>
    <t>10.1016/j.surfin.2025.105777</t>
  </si>
  <si>
    <t>JAN 2025</t>
  </si>
  <si>
    <t>WOS:001406385600001</t>
  </si>
  <si>
    <t>Acuna-Castillo, C; Vidal, M; Vallejos-Vidal, E; Luraschi, R; Barrera-Avalos, C; Inostroza-Molina, A; Molina-Cabrera, S; Valdes, D; Schafer, C; Maisey, K; Imarai, M; Vera, R; Vargas, S; Rojo, LE; Leiva-Salcedo, E; Escobar, A; Reyes-Cerpa, S; Gaete, A; -Vejares, RP; Travisany, D; Torres, C; Reyes-López, FE; Sandino, AM</t>
  </si>
  <si>
    <t>Acuna-Castillo, Claudio; Vidal, Mabel; Vallejos-Vidal, Eva; Luraschi, Roberto; Barrera-Avalos, Carlos; Inostroza-Molina, Ailen; Molina-Cabrera, Sonia; Valdes, Daniel; Schafer, Carolina; Maisey, Kevin; Imarai, Monica; Vera, Rodrigo; Vargas, Sergio; Rojo, Leonel E.; Leiva-Salcedo, Elias; Escobar, Alejandro; Reyes-Cerpa, Sebastian; Gaete, Alexis; -Vejares, Ricardo Palma; Travisany, Dante; Torres, Claudio; Reyes-Lopez, Felipe E.; Sandino, Ana Maria</t>
  </si>
  <si>
    <t>A retrospective study suggests 55 days of persistence of SARS-CoV-2 during the first wave of the pandemic in Santiago de Chile</t>
  </si>
  <si>
    <t>HELIYON</t>
  </si>
  <si>
    <t>Background: As the COVID-19 pandemic persists, infections continue to surge globally. Presently, the most effective strategies to curb the disease and prevent outbreaks involve fostering immunity, promptly identifying positive cases, and ensuring their timely isolation. Notably, there are instances where the SARS-CoV-2 virus remains infectious even after patients have completed their quarantine. Objective: Understanding viral persistence post-quarantine is crucial as it could account for localized infection outbreaks. Therefore, studying and documenting such instances is vital for shaping future public health policies. Design: This study delves into a unique case of SARS-CoV-2 persistence in a 60-year-old female healthcare worker with a medical history of hypertension and hypothyroidism. The research spans 55 days, marking the duration between her initial and subsequent diagnosis during Chile's first COVID-19 wave, with the analysis conducted using RT-qPCR. Results: Genomic sequencing-based phylogenetic analysis revealed that the SARS-CoV-2 detected in both Nasopharyngeal swab samples (NPSs) was consistent with the 20B clade of the Nextstrain classification, even after a 55-day interval. Conclusion: This research underscores the need for heightened vigilance concerning cases of viral persistence. Such instances, albeit rare, might be pivotal in understanding sporadic infection outbreaks that occur post-quarantine.</t>
  </si>
  <si>
    <t>Vera, Rodrigo/LXW-4045-2024; Acuña-Castillo, Claudio/AAI-7090-2021; Luraschi, Roberto/AAI-7965-2021; Reyes-López, Felipe/S-1760-2018; Escobar, Alejandro/I-2775-2013; Vargas, Sergio/A-5678-2011; Vidal, Mabel/F-9968-2016; Vallejos-Vidal, Eva/R-9606-2019</t>
  </si>
  <si>
    <t>Vidal, Mabel/0000-0002-0800-1353; Vallejos-Vidal, Eva/0000-0002-3091-2700; Reyes, Sebastian/0000-0002-7676-1266; Reyes-Lopez, Felipe E./0000-0002-5001-457X; Luraschi, Roberto/0000-0001-5611-4320; Acuna-Castillo, Claudio/0000-0003-3607-6077</t>
  </si>
  <si>
    <t>2405-8440</t>
  </si>
  <si>
    <t>APR 15</t>
  </si>
  <si>
    <t>e24419</t>
  </si>
  <si>
    <t>10.1016/j.heliyon.2024.e24419</t>
  </si>
  <si>
    <t>WOS:001226259500001</t>
  </si>
  <si>
    <t>Sans-Serramitjana, E; Gallardo-Benavente, C; Melo, F; Pérez-Donoso, JM; Rumpel, C; Barra, PJ; Durán, P; Mora, MD</t>
  </si>
  <si>
    <t>Sans-Serramitjana, Eulalia; Gallardo-Benavente, Carla; Melo, Francisco; Perez-Donoso, Jose M.; Rumpel, Cornelia; Barra, Patricio Javier; Duran, Paola; Mora, Maria de La Luz</t>
  </si>
  <si>
    <t>A Comparative Study of the Synthesis and Characterization of Biogenic Selenium Nanoparticles by Two Contrasting Endophytic Selenobacteria</t>
  </si>
  <si>
    <t>The present study examined the biosynthesis and characterization of selenium nanoparticles (SeNPs) using two contrasting endophytic selenobacteria, one Gram-positive (Bacillus sp. E5 identified as Bacillus paranthracis) and one Gram-negative (Enterobacter sp. EC5.2 identified as Enterobacter ludwigi), for further use as biofortifying agents and/or for other biotechnological purposes. We demonstrated that, upon regulating culture conditions and selenite exposure time, both strains were suitable cell factories for producing SeNPs (B-SeNPs from B. paranthracis and E-SeNPs from E. ludwigii) with different properties. Briefly, dynamic light scattering (DLS), transmission electron microscopy (TEM), and atomic force microscopy (AFM) studies revealed that intracellular E-SeNPs (56.23 &amp; PLUSMN; 4.85 nm) were smaller in diameter than B-SeNPs (83.44 &amp; PLUSMN; 2.90 nm) and that both formulations were located in the surrounding medium or bound to the cell wall. AFM images indicated the absence of relevant variations in bacterial volume and shape and revealed the existence of layers of peptidoglycan surrounding the bacterial cell wall under the conditions of biosynthesis, particularly in the case of B. paranthracis. Raman spectroscopy, Fourier transform infrared spectroscopy (FTIR), energy-dispersive X-ray (EDS), X-ray diffraction (XRD), and X-ray photoelectron spectroscopy (XPS) showed that SeNPs were surrounded by the proteins, lipids, and polysaccharides of bacterial cells and that the numbers of the functional groups present in B-SeNPs were higher than in E-SeNPs. Thus, considering that these findings support the suitability of these two endophytic stains as potential biocatalysts to produce high-quality Se-based nanoparticles, our future efforts must be focused on the evaluation of their bioactivity, as well as on the determination of how the different features of each SeNP modulate their biological action and their stability.</t>
  </si>
  <si>
    <t>Melo, Francisco/M-3923-2014; Mora Gil, Maria Luz/AAT-4081-2021; Barra, Patricio/Z-5042-2019; Rumpel, Cornelia/A-2001-2015; Perez-Donoso, Jose/G-3668-2013</t>
  </si>
  <si>
    <t>Rumpel, Cornelia/0000-0003-2131-9451; Mora, Maria Luz/0000-0002-7474-1595; Melo, Francisco Esteban/0000-0001-6818-5476; Duran, Paola/0000-0001-8638-6781; Sans Serramitjana, Eulalia/0000-0001-5642-6965; Perez-Donoso, Jose/0000-0002-9506-1716; Barra, Patricio Javier/0000-0003-4145-3084</t>
  </si>
  <si>
    <t>10.3390/microorganisms11061600</t>
  </si>
  <si>
    <t>WOS:001015469000001</t>
  </si>
  <si>
    <t>Cabezas, R; Zurob, E; Gomez, B; Merlet, G; Plaza, A; Araya-Lopez, C; Romero, J; Olea, F; Quijada-Maldonado, E; Pino-Soto, L; Gonzalez, T; Castro-Muñoz, R</t>
  </si>
  <si>
    <t>Cabezas, Rene; Zurob, Elsie; Gomez, Belen; Merlet, Gaston; Plaza, Andrea; Araya-Lopez, Claudio; Romero, Julio; Olea, Felipe; Quijada-Maldonado, Esteban; Pino-Soto, Luis; Gonzalez, Thais; Castro-Munoz, Roberto</t>
  </si>
  <si>
    <t>Challenges and Possibilities of Deep Eutectic Solvent-Based Membranes</t>
  </si>
  <si>
    <t>INDUSTRIAL &amp; ENGINEERING CHEMISTRY RESEARCH</t>
  </si>
  <si>
    <t>Deep eutectic solvents (DES) are a category of a new class of solvents that can overcome some of the main drawbacks of typical solvents and ionic liquids (ILs). DES have been widely investigated and applied by t h e research community in several applications since their invention. Over the past years, the use of DES has been directed to the production of new materials and items for new products and processes. This is the case for t h e implementation of DES in various fields of chemical engineering directed to separations. DES have been very recently initiated to be combined into membranes for membrane processes. In this reg a r d , this Review timely elucidates the current progress in utilizing this new generation of solvents in membrane preparation. In this work, different techniques, methods, and strategies for incorporating DES into polymer membranes for different concepts of membranes according to the final application have been reviewed . Particular emphasis has been devoted to the most relevant development works and results. After the current literature was analyzed, the main challenges and possibilities of DES in membranes were declared.</t>
  </si>
  <si>
    <t>Castro-Muñoz, Roberto/AAP-3010-2020; Romero, Julio/I-6705-2013; Araya Lopez, Claudio/KXR-0295-2024; Cabezas, Rene/HAR-6189-2022; olea, felipe/IAN-5687-2023; Merlet Venturelli, Gaston/B-4109-2019</t>
  </si>
  <si>
    <t>Cabezas, Rene/0000-0002-4162-3429; Plaza, Andrea/0000-0001-9475-007X; Quijada-Maldonado, Esteban/0000-0003-1411-4327; Merlet Venturelli, Gaston/0000-0003-2602-6471; Romero, Julio/0000-0002-1229-1592; Olea Chandia, Felipe/0000-0002-6349-6184; Pino Soto, Luis/0000-0002-6588-7867; Pino, Luis/0000-0003-4475-7470; Zurob, Elsie/0000-0002-5396-5960</t>
  </si>
  <si>
    <t>0888-5885</t>
  </si>
  <si>
    <t>1520-5045</t>
  </si>
  <si>
    <t>DEC 7</t>
  </si>
  <si>
    <t>10.1021/acs.iecr.2c02747</t>
  </si>
  <si>
    <t>WOS:000890625100001</t>
  </si>
  <si>
    <t>Rodriguez, S; Pertino, MW; Arcos, C; Reichert, L; Echeverria, J; Simirgiotis, M; Borquez, J; Cornejo, A; Areche, C; Sepulveda, B</t>
  </si>
  <si>
    <t>Rodriguez, Stephanie; Pertino, Mariano Walter; Arcos, Chantal; Reichert, Luana; Echeverria, Javier; Simirgiotis, Mario; Borquez, Jorge; Cornejo, Alberto; Areche, Carlos; Sepulveda, Beatriz</t>
  </si>
  <si>
    <t>Isolation, Gastroprotective Effects and Untargeted Metabolomics Analysis of Lycium Minutifolium J. Remy (Solanaceae)</t>
  </si>
  <si>
    <t>FOODS</t>
  </si>
  <si>
    <t>Lycium minutifoliumJ. Remy (Solanaceae) is commonly used as an infusion in traditional medicine to treat stomach pain, meteorism, intestinal disorders, stomach ailments, and other severe problems including prostate cancer and stomach cancer. From the EtOAc extract ofL. minutifoliumbark five known metabolites were isolated using chromatographic techniques. The gastroprotective effects of the EtOAc fraction and edible infusion extract of the bark were assayed on the hydrochloric acid (HCl)/EtOH induced gastric ulcer model in mice to support the traditional use of the plant. The EtOAc extract and the edible infusion showed gastroprotective effect at dose of 100 mg/kg reducing lesions by 31% and 64%, respectively. The gastroprotective action mechanisms of the edible infusion at a single oral dose of 100 mg/kg were evaluated suggesting that prostaglandins, sulfhydryl groups, and nitric oxide are involved in the mode of gastroprotective action. The UHPLC analysis coupled to high-resolution mass spectrometry of the edible infusion showed the presence of twenty-three compounds. Our results can support the gastroprotective properties of the edible infusion extract, and at least can validate in part, the ethnopharmacological uses of the plant.</t>
  </si>
  <si>
    <t>Cornejo, Alberto/AAE-7978-2022; Echeverría, Javier/AAK-3323-2020; Rodríguez, Stephanie/JWP-3294-2024; Simirgiotis Aguero, Mario Juan/P-3871-2017; Areche, Carlos/I-2461-2013</t>
  </si>
  <si>
    <t>Pertino, Mariano/0000-0002-0203-4891; Cornejo, Alberto/0000-0003-0837-4130; Simirgiotis Aguero, Mario Juan/0000-0003-4552-3123; Areche, Carlos/0000-0001-5246-1368; Echeverria, Javier/0000-0002-1688-968X</t>
  </si>
  <si>
    <t>2304-8158</t>
  </si>
  <si>
    <t>10.3390/foods9050565</t>
  </si>
  <si>
    <t>WOS:000542281300012</t>
  </si>
  <si>
    <t>Quiroz, G; Sotomayor-Zárate, R; González-Gutierrez, JP; Vizcarra, F; Moraga, F; Bermudez, I; Reyes-Parade, M; Quintanilla, ME; Lagos, D; Rivera-Meza, M; Iturriaga-Vásquez, P</t>
  </si>
  <si>
    <t>Quiroz, Gabriel; Sotomayor-Zarate, Ramon; Pablo Gonzalez-Gutierrez, Juan; Vizcarra, Franco; Moraga, Felipe; Bermudez, Isabel; Reyes-Parade, Miguel; Elena Quintanilla, Maria; Lagos, Diego; Rivera-Meza, Mario; Iturriaga-Vasquez, Patricio</t>
  </si>
  <si>
    <t>UFR2709, a Nicotinic Acetylcholine Receptor Antagonist, Decreases Ethanol Intake in Alcohol-Preferring Rats</t>
  </si>
  <si>
    <t>Brain nicotinic acetylcholine receptors (nAChRs), a heterogeneous family of pentameric acetylcholine-gated cation channels, have been suggested as molecular targets for the treatment of alcohol abuse and dependence. Here, we examined the effect of the competitive nAChR antagonist UFR2709 on the alcohol consumption of high-alcohol-drinking UChB rats. UChB rats were given free access to ethanol for 24-h periods in a two-bottle free choice paradigm and their ethanol and water intake were measured. The animals were i.p. injected daily for 17 days with a 10, 5, 2.5, or 1 mg/kg dose of UFR2709. Potential confounding motor effects of UFR2709 were assessed by examining the locomotor activity of animals administered the highest dose of UR2709 tested (10 mg/kg i.p.). UFR2709 reduced ethanol consumption and ethanol preference and increased water consumption in a dose-dependent manner. The most effective dose of UFR2709 was 2.5 mg/kg, which induced a 56% reduction in alcohol consumption. Administration of UFR2709 did not affect the weight or locomotor activity of the rats, suggesting that its effects on alcohol consumption and preference were mediated by specific nAChRs.</t>
  </si>
  <si>
    <t>Viscarra, Franco/IZD-7499-2023; Rivera-Meza, Mario/H-3237-2017; Gonzalez Gutierrez, Juan Pablo/HDN-0182-2022</t>
  </si>
  <si>
    <t>Rivera-Meza, Mario/0000-0002-7943-5271; Sotomayor-Zarate, Ramon/0000-0002-1239-5367; Viscarra, Franco/0000-0001-7891-7546; Quiroz Nahuelpan, Gabriel Francisco Esteban/0000-0002-1883-886X; Gonzalez Gutierrez, Juan Pablo/0000-0002-4417-4294</t>
  </si>
  <si>
    <t>10.3389/fphar.2019.01429</t>
  </si>
  <si>
    <t>WOS:000503247100001</t>
  </si>
  <si>
    <t>Oyarzo, J; Bosque, R; Toro, P; Silva, CP; Arancibia, R; Font-Bardía, M; Artigas, V; Calvis, C; Messeguer, R; Klahn, AH; López, C</t>
  </si>
  <si>
    <t>Oyarzo, Juan; Bosque, Ramon; Toro, Patricia; Silva, Carlos P.; Arancibia, Rodrigo; Font-Bardia, Merce; Artigas, Vania; Calvis, Carme; Messeguer, Ramon; Hugo Klahn, A.; Lopez, Concepcion</t>
  </si>
  <si>
    <t>A novel type of organometallic 2-R-2,4-dihydro-1H-3,1-benzoxazine with R = [M(η5-C5H4)(CO)3] (M = Re or Mn) units. Experimental and computational studies of the effect of substituent R on ring-chain tautomerism</t>
  </si>
  <si>
    <t>The syntheses, characterization, X-ray crystal structures, electrochemical properties and anticancer and antichagasic activities of the first examples of 2-substituted 2,4-dihydro-1H-3,1-benzoxazines with half-sandwich organometallic arrays, [M(eta(5)-C5H4)(CO)(3)] (M = Re or Mn), at position-2 are described. Experimental and computational studies based on DFT calculations on the open forms [Schiff bases of general formulae R-CH=N-C6H4-2-CH2OH] (5), with R = ferrocenyl (a), phenyl (b), cyrhetrenyl (c) or cymantrenyl (d), and their tautomeric forms (2-substituted 2,4-dihydro-1H-3,1 benzoxazines) have allowed us to establish the influence of substituents a-d and solvents on: (a) the extent of tautomeric equilibria (5a-5d) &lt;-&gt; (6a-6d) and (b) their electrochemical properties and the electronic distribution on the open and closed forms. Despite the formal similarity between 6c and 6d, their anticancer and antiparasitic activities are markedly different. Compound 6d is inactive in the HCT116, MDA-MB231 and MCF7 cancer cell lines, but 6c shows moderate activity in the latter cell line, while the Mn(I) complex (6d) is a more potent anti-Trypanosoma cruzi agent than its Re(I) analogue (6c).</t>
  </si>
  <si>
    <t>López, Concepción/K-1100-2014; Silva, Carlos/IQS-5583-2023; Toro, Patricia/AAX-1591-2020; Font-Bardía, Mercè/AAB-9197-2019; Bosque, Ramon/D-1635-2012</t>
  </si>
  <si>
    <t>Toro, Patricia Macarena/0000-0002-2286-5238; Bosque, Ramon/0000-0002-4796-5673; Oyarzo Montalvan, Juan Ignacio/0000-0002-1778-3051; Messeguer, Ramon/0000-0003-1913-7624; Font-Bardia, Merce/0000-0002-7892-8744; Silva, Carlos P./0000-0001-5344-042X</t>
  </si>
  <si>
    <t>JAN 21</t>
  </si>
  <si>
    <t>10.1039/c8dt03265c</t>
  </si>
  <si>
    <t>WOS:000457270000027</t>
  </si>
  <si>
    <t>Pérez, OD; Aitken, MRF; Milton, AL; Dickinson, A</t>
  </si>
  <si>
    <t>Perez, Omar D.; Aitken, Michael R. F.; Milton, Amy L.; Dickinson, Anthony</t>
  </si>
  <si>
    <t>A re-examination of responding on ratio and regulated-probability interval schedules</t>
  </si>
  <si>
    <t>LEARNING AND MOTIVATION</t>
  </si>
  <si>
    <t>The higher response rates observed on ratio than on matched interval reward schedules has been attributed to the differential reinforcement of longer inter-response times (IRTs) on the interval contingency. Some data, however, seem to contradict this hypothesis, showing that the difference is still observed when the role of IRT reinforcement is neutralized by using a regulated-probability interval schedule (RPI). Given the mixed evidence for these predictions, we re-examined this hypothesis by training three groups of rats to lever press under ratio, interval and RPI schedules across two phases while matching reward rates within triads. At the end of the first phase, the master ratio and RPI groups responded at similar rates. In the second phase, an interval group yoked to the same master ratio group of the first phase responded at a lower rate than the RPI group. Post-hoc analysis showed comparable reward rates for master and yoked schedules. The experienced response-outcome rate correlations were likewise similar and approached zero as training progressed. We discuss these results in terms of a contemporary dual-system model of instrumental conditioning.</t>
  </si>
  <si>
    <t>Milton, Amy/B-6839-2009; Perez, Omar/IAO-4501-2023</t>
  </si>
  <si>
    <t>Perez, Omar David/0000-0002-4168-5435; Aitken Deakin, Michael/0000-0001-9763-8999; Milton, Amy/0000-0003-0175-9417</t>
  </si>
  <si>
    <t>0023-9690</t>
  </si>
  <si>
    <t>1095-9122</t>
  </si>
  <si>
    <t>10.1016/j.lmot.2018.07.003</t>
  </si>
  <si>
    <t>WOS:000449903800001</t>
  </si>
  <si>
    <t>Stepanova, M; Luízar, O; Antonova, EE; Bosqued, JM; Kovrazhkin, RA</t>
  </si>
  <si>
    <t>Russell, CT; Savin, S; Kruglanski, M</t>
  </si>
  <si>
    <t>Morphology of high latitude auroral electron precipitations obtained by the Aureol-3 satellite</t>
  </si>
  <si>
    <t>DYNAMIC PROCESSES IN THE CRITICAL MAGNETOSPHERIC REGIONS AND RADIATION BELT MODELS, PROCEEDINGS</t>
  </si>
  <si>
    <t>D3 5/PSRBI Symposium of the COSPAR Scientific Commission D held at the 33rd COSPAR Assembly</t>
  </si>
  <si>
    <t>Comm Space Res,Int Higher Educ Acad Sci,MI Bank</t>
  </si>
  <si>
    <t>Latitudinal distribution of auroral electron precipitations was studied using the Aureol-3 satellite data. Analysis of 148 events in the morning, night, and evening sectors showed that structures of all types have a wide MLT distribution. However, during low geomagnetic activity the distribution of latitudinally asymmetric events is close to Iijima and Potemra's Region I and 2 current picture: the equatorward events prevail in the morning and postmidnight sectors, and the polarward ones - in the evening and premidnight. An increase in geomagnetic activity makes the MLT distribution of different types of events more uniform. This fact may indicate existence of the multi-layer structure of currents and consequently medium scale electric fields, in which the maximum currents considerably exceed the average values observed in the Region 1 and 2. (C) 2002 COSPAR. Published by Elsevier Science Ltd. All rights reserved.</t>
  </si>
  <si>
    <t>Antonova, Elizaveta/A-2716-2012; Stepanova, Marina/D-6329-2011</t>
  </si>
  <si>
    <t>Antonova, Elizaveta/0000-0001-6980-3993; Stepanova, Marina/0000-0002-1053-3375</t>
  </si>
  <si>
    <t>PII S0273-1177(02)00762-7</t>
  </si>
  <si>
    <t>10.1016/S0273-1177(02)80392-1</t>
  </si>
  <si>
    <t>WOS:000180725900011</t>
  </si>
  <si>
    <t>Peralta, M; Nascimento, M; Ferrari, G; Gouveia, ER; Marques, A</t>
  </si>
  <si>
    <t>Peralta, Miguel; Nascimento, Marcelo; Ferrari, Gerson; Gouveia, elvio R.; Marques, Adilson</t>
  </si>
  <si>
    <t>Depression, reduced physical activity and the risk of heart disease: a prospective cohort of European middle-aged and older adults</t>
  </si>
  <si>
    <t>Objective To assess the impact of depression and physical activity (PA) of different intensities on the incidence of heart disease.Methods A prospective cohort study with 20 645 European middle-aged and older adults (mean baseline age 63 years; 55.1% women; median follow-up 9.5 years) was conducted using data from the Survey of Health, Ageing and Retirement in Europe. The EURO-D 12-item scale assessed depression. Moderate-intensity and vigorous-intensity PA and heart disease diagnoses were self-reported. We classified participants into the following four groups: (1) depression plus low PA, (2) no depression plus low PA, (3) depression plus moderate/high PA, (4) no depression plus moderate/high PA. Hazard ratio (HR) and 95% confidence interval (CI) were estimated using Cox proportional hazards models adjusted for confounders.Results Compared with having depression and low PA levels, adjusted HR for heart disease similarly decreased for participants with depression and moderate/high PA (moderate-intensity PA: HR=0.63, 95% CI=0.50, 0.78; vigorous-intensity PA: HR=0.69, 95% CI=0.53, 0.89) and participants without depression and low PA (moderate-intensity PA: HR=0.64, 95% CI=0.50, 0.82; vigorous-intensity PA: HR=0.68, 95% CI=0.58, 0.80). The greatest risk reduction was found in participants without depression and moderate/high PA (moderate-intensity PA: HR=0.46, 95% CI=0.37, 0.55; vigorous-intensity PA: HR=0.48, 95% CI=0.40, 0.58).Conclusion Moderate-intensity and vigorous-intensity PA seems to counteract the increased risk for heart disease associated with depression. This highlights the importance of PA as a possible intervention strategy aiming to manage the risk of heart disease among people with depression.</t>
  </si>
  <si>
    <t>Gouveia, Elvio/F-9156-2015; Marques, Adilson/K-4529-2014; Peralta, Miguel/H-1666-2017</t>
  </si>
  <si>
    <t>Marques, Adilson/0000-0001-9850-7771; Peralta, Miguel/0000-0001-6072-6012</t>
  </si>
  <si>
    <t>2025 FEB 20</t>
  </si>
  <si>
    <t>10.1136/bjsports-2024-108780</t>
  </si>
  <si>
    <t>WOS:001427113200001</t>
  </si>
  <si>
    <t>Kumar, C; Shrivastav, M; Escrig, J; Campos, LP; Martinez, AI; Silva, H; Zarate, A</t>
  </si>
  <si>
    <t>Kumar, Chandra; Shrivastav, Monika; Escrig, Juan; Campos, Luis-Padilla; Martinez, Arturo I.; Silva, Hector; Zarate, Antonio</t>
  </si>
  <si>
    <t>The investigation of thickness-dependent mono-fractal, optical and optoelectronics properties of sputtered silver thin film for silicon solar cell</t>
  </si>
  <si>
    <t>VACUUM</t>
  </si>
  <si>
    <t>Here we report, the room temperature deposition of silver (Ag) thin films on silicon, glass and silicon solar cell substrates by magnetron sputtering. The effect of thickness on the deposited thin films and their morphological, fractal, optical and solar cell parameters have been extensively investigated. AFM results show that the Ag thin films are composed of different-size of nano-grains and the grain size increases with increasing thickness. Monofractal parameters, namely fractal dimension (Df) and Hurst exponent (H), were determined from the power spectral density function. X-ray photoelectron spectroscopy studies indicate that the deposited samples exhibit the presence of oxidation state of Ag (0) in thin films, confirming the stable structure. The optical analysis shows that the transmittance of the deposited thin films decreases with increasing thickness, on the other hand, the silver thin film with thickness of 20 nm shows surface Plasmon resonance (SPR) at 436 nm. Current-voltage (I-V) curves were measured in dark and under illumination mode at standard testing conditions, i.e., 300K, 1000 W/ m2 and 1.5 AM global using a solar simulator. These measurement studies indicate that thicknesses are effectively impacts on photovoltaic performance. The calculated values of change in solar efficiency (Delta eta) are 0.26, -0.20, -0.76 and -6.88 % for thin films with nominal thickness 0.5, 1, 2 and 20 nm respectively.</t>
  </si>
  <si>
    <t>Escrig, Juan/N-4304-2015</t>
  </si>
  <si>
    <t>Shrivastav, Monika/0000-0001-7634-2021</t>
  </si>
  <si>
    <t>0042-207X</t>
  </si>
  <si>
    <t>1879-2715</t>
  </si>
  <si>
    <t>10.1016/j.vacuum.2024.113247</t>
  </si>
  <si>
    <t>WOS:001301432700001</t>
  </si>
  <si>
    <t>Tapia, D; Eissler, Y; Reyes-Lopez, FE; Kuznar, J; Yáñez, JM</t>
  </si>
  <si>
    <t>Tapia, David; Eissler, Yoanna; Reyes-Lopez, Felipe E.; Kuznar, Juan; Yanez, Jose Manuel</t>
  </si>
  <si>
    <t>Infectious pancreatic necrosis virus in salmonids: Molecular epidemiology and host response to infection</t>
  </si>
  <si>
    <t>REVIEWS IN AQUACULTURE</t>
  </si>
  <si>
    <t>Infectious pancreatic necrosis virus (IPNV) is one of the most pervasive pathogens in aquaculture worldwide. It causes a highly contagious disease in salmonids that has a significant economic impact in almost every country where salmonid fish are farmed. For decades IPNV studies have focussed on the molecular characterisation of isolates collected from around the world and the discovery of molecular markers associated with virulence and pathogenicity. The great success of selective breeding for resistance to IPNV has caused special emphasis to be put on the immune response of salmon genetically resistant/susceptible to IPNV. In this work, we review the classification of IPNV, summarise virulence markers and add recent findings about the molecular epidemiology and worldwide distribution of the virus. We also review genetic improvements for IPNV resistance, the kinetics of the immune response to IPNV and the transcriptomic response of salmonids, made possible through the use high-throughput technologies.</t>
  </si>
  <si>
    <t>Reyes-López, Felipe/S-1760-2018; Yanez, Jose Manuel/H-5279-2013</t>
  </si>
  <si>
    <t>Eissler, Yoanna/0000-0001-5028-2542; Tapia, David/0000-0002-9601-5471; Reyes-Lopez, Felipe E./0000-0002-5001-457X; Yanez, Jose Manuel/0000-0002-6612-4087</t>
  </si>
  <si>
    <t>1753-5123</t>
  </si>
  <si>
    <t>1753-5131</t>
  </si>
  <si>
    <t>10.1111/raq.12623</t>
  </si>
  <si>
    <t>OCT 2021</t>
  </si>
  <si>
    <t>WOS:000711131200001</t>
  </si>
  <si>
    <t>Praats, R; Käärik, M; Kikas, A; Kisand, V; Aruväli, J; Paiste, P; Merisalu, M; Leis, J; Sammelselg, V; Zagal, JH; Holdcroft, S; Nakashima, N; Tammeveski, K</t>
  </si>
  <si>
    <t>Praats, Reio; Kaarik, Maike; Kikas, Arvo; Kisand, Vambola; Aruvali, Jaan; Paiste, Paarn; Merisalu, Maido; Leis, Jaan; Sammelselg, Vaino; Zagal, Jose H.; Holdcroft, Steven; Nakashima, Naotoshi; Tammeveski, Kaido</t>
  </si>
  <si>
    <t>Electrocatalytic oxygen reduction reaction on iron phthalocyanine-modified carbide-derived carbon/carbon nanotube composite electrocatalysts</t>
  </si>
  <si>
    <t>ELECTROCHIMICA ACTA</t>
  </si>
  <si>
    <t>We have investigated the electrocatalytic activity of pyrolysed iron phthalocyanine (FePc) modified carbide-derived carbon/multi-walled carbon nanotube (CDC/CNT) composite materials for the electroreduction of O-2. For comparison, FePc supported on Ketjenblack (KB/FePc) and heat-treated at 800 degrees C was also investigated. All materials containing a higher weight ratio of the CNTs exhibit higher electrocatalytic activity for oxygen reduction reaction (ORR) in both alkaline and acidic media. The surface morphology, structure, elemental composition and porosity of the electrocatalysts were studied with scanning electron microscopy, X-ray diffraction analysis, X-ray photoelectron spectroscopy, microwave plasma atomic emission spectroscopy and N-2 adsorption-desorption analysis. Anion exchange membrane fuel cell (AEMFC) tests were performed with the most active FePc modified CDC/CNT and KB/FePc catalysts. Excellent AEMFC performance was observed using these FePc derived cathode catalysts (maximum power density of 186 mW cm(-2) for KB/FePc). (C) 2019 Elsevier Ltd. All rights reserved.</t>
  </si>
  <si>
    <t>Sammelselg, Vaino/B-9794-2008; Käärik, Maike/AAI-1439-2021; Leis, Jaan/AAF-1935-2020; zagal, jose/L-9648-2014; Tammeveski, Kaido/H-7789-2015; Paiste, Kärt/HPH-1142-2023; Kikas, Arvo/H-3136-2015; Kisand, Vambola/A-6822-2008</t>
  </si>
  <si>
    <t>Kikas, Arvo/0000-0001-7412-3714; Kisand, Vambola/0000-0001-9765-055X; Praats, Reio/0000-0001-7416-2027; Holdcroft, Steven/0000-0002-1653-1047</t>
  </si>
  <si>
    <t>0013-4686</t>
  </si>
  <si>
    <t>1873-3859</t>
  </si>
  <si>
    <t>FEB 20</t>
  </si>
  <si>
    <t>10.1016/j.electacta.2019.135575</t>
  </si>
  <si>
    <t>WOS:000508560000022</t>
  </si>
  <si>
    <t>Roco, FR; Valencia, FJ; Rogan, J; Ramirez, M; Cartellone, FA; Bringa, EM</t>
  </si>
  <si>
    <t>Roco, Fiorella R.; Valencia, Felipe J.; Rogan, J.; Ramirez, M.; Cartellone, Federico A.; Bringa, Eduardo M.</t>
  </si>
  <si>
    <t>Mechanical properties of High Entropy Alloy nanoparticles obtained by nanoindentation: A BCC HfNbZrTaTi and FCC FeNiCrCoCu case</t>
  </si>
  <si>
    <t>MATERIALS TODAY COMMUNICATIONS</t>
  </si>
  <si>
    <t>Atomistic simulations were employed to investigate the mechanical properties of a Face-centered Cubic (FCC) FeNiCrCoCu and abase centered cubic (BCC) HfNbTaZrTi High Entropy Alloy (HEA) nanoparticles. The study reveals that both types of nanoparticles exhibit significantly higher yield strength, compressive strength, and effective Young's modulus compared to their bulk HEA counterparts, consistent with experimental observations. Plastic deformation in BCC nanoparticles is facilitated by 1/2 &lt; 111 &gt; dislocations, serving as precursors for twin- assisted deformation. In contrast, FCC nanoparticles undergo plastic deformation characterized by nucleation and pile-up of stacking faults, akin to other FCC nanoparticles. Results are compared to the respective average atom materials. For FCC AA the behavior is extremely similar to the HEA FCC case. For BCC AA there are significant differences in dislocation and twinning behavior compared to the BCC HEA case, leading to more twins and less dislocations in the AA case. The similarity in deformation mechanisms for HEA and FCC nanoparticles suggests that the crystal lattice dictates deformation behavior, rather than chemical complexity. However, for BCC NPs, chemical complexity plays a role in the interplay between dislocations and twins, and on dislocation evolution. This study enhances our understanding of high-entropy alloy nanoparticle mechanics and offers insights into tailoring material responses through surface modification.</t>
  </si>
  <si>
    <t>Rogan, José/B-8819-2008; Valencia, Felipe/D-9223-2015; Bringa, Eduardo/F-8918-2011; Ramirez, Max/B-5045-2008</t>
  </si>
  <si>
    <t>Bringa, Eduardo/0000-0002-1403-1954; Rogan, Jose/0000-0003-1080-2739</t>
  </si>
  <si>
    <t>2352-4928</t>
  </si>
  <si>
    <t>10.1016/j.mtcomm.2025.111628</t>
  </si>
  <si>
    <t>WOS:001416802700001</t>
  </si>
  <si>
    <t>The Response of the Earth Magnetosphere to Changes in the Solar Wind Dynamic Pressure: 1. Plasma and Magnetic Pressures</t>
  </si>
  <si>
    <t>In the present study, the influence of the solar wind dynamic pressure on the plasma and magnetic pressures of the magnetosphere is studied. We use 11-year Time History of Events and Macroscale Interactions during Substorms (THEMIS) instruments for plasma and magnetic field measurements in the magnetosphere and the OMNI database for solar wind dynamic pressure and IMF data. We focus on the effects of the solar wind dynamic pressure (PSW) and consider only times in which the interplanetary magnetic field (IMF) components are within +/- 5 nT. We find that the plasma pressure inside the magnetosphere follows the solar wind dynamic pressure and that an increase in PSW also influence the day-night pressure asymmetry. Our analysis also reveals the existence of ion and electron drifts from midnight toward the dusk and dawn sectors, respectively. We observe a local magnetic pressure minimum located near a plasma pressure maximum at around 11 RE on the nightside. Comparing the effect of PSW on both plasma and magnetic pressures, we observe trends which are consistent with the diamagnetic properties of plasmas. In general, the distribution of plasma pressure within the Earth's magnetosphere is an important criterion for evaluating the magnetostatic equilibrium and electric current system. The outcome of this study should provide additional methodologies for the characterization of key plasma characteristics within the magnetosphere. Magnetospheric activity and space weather are driven by the interaction of the solar wind and the Earth's magnetic field. The solar wind dynamic pressure and interplanetary magnetic field (IMF) are two important factors that affect the behavior of the Earth's magnetosphere. The interaction between these two factors are complex and can have significant effects on our planet. Based on 11-year plasma and magnetic field measurements, obtained from THEMIS satellites, we investigated the effect of solar wind dynamic pressure on the plasma and magnetic pressures within the Earth magnetosphere. In this study, we show that changes in the plasma pressure within the magnetosphere are linked to variations in the solar wind dynamic pressure. Our findings confirm that the plasma pressure inside the magnetosphere is mainly controlled by the solar wind dynamic pressure, which can be attributed to pressure balance. Overall, the distribution of plasma pressure within the Earth's magnetosphere is a key parameter for evaluating the magnetostatic equilibrium and electric current system. Our results are expected to offer scientists additional methodologies for characterizing main plasma parameters in the magnetosphere. Increase in solar wind dynamic pressure leads to increase in plasma and magnetic pressures in the magnetosphere Larger solar wind dynamic pressure make the plasma pressure more symmetric around the Earth Observations reveal a local magnetic pressure minimum located near a plasma pressure maximum around 11RE on the nightside</t>
  </si>
  <si>
    <t>Kirpichev, Igor/HHM-2487-2022; Eyelade, Adetayo/AAD-9716-2020; Stepanova, Marina/D-6329-2011; Espinoza, Cristobal/U-4428-2017; Antonova, Elizaveta/A-2716-2012</t>
  </si>
  <si>
    <t>EYELADE, ADETAYO/0000-0002-2301-307X; Stepanova, Marina/0000-0002-1053-3375; Espinoza, Cristobal/0000-0003-2481-2348; Antonova, Elizaveta/0000-0001-6980-3993</t>
  </si>
  <si>
    <t>e2023JA031948</t>
  </si>
  <si>
    <t>10.1029/2023JA031948</t>
  </si>
  <si>
    <t>WOS:001258772400001</t>
  </si>
  <si>
    <t>Sheeba, KRJ; Priya, RK; Arunachalam, KP; Avudaiappan, S; Flores, ES; Kozlov, P</t>
  </si>
  <si>
    <t>Sheeba, K. R. Jaya; Priya, R. Krishna; Arunachalam, Krishna Prakash; Avudaiappan, Siva; Flores, Erick Saavedra; Kozlov, Pavel</t>
  </si>
  <si>
    <t>Enhancing structural, thermal, and mechanical properties of Acacia pennata natural fibers through benzoyl chloride treatment for construction applications</t>
  </si>
  <si>
    <t>CASE STUDIES IN CONSTRUCTION MATERIALS</t>
  </si>
  <si>
    <t>In recent years, there has been growing interest in exploring natural fiber reinforced composites as potential alternatives to conventional materials in various structural applications. The aim of this study on Acacia pennata fibers (APFs) and treating them with benzoyl chloride was to explore their potential as reinforcement in construction-related materials. The aim was to investigate the physico-chemical, thermal, and mechanical properties of these fibers to understand their suitability for applications in concrete reinforcement, retrofitting, roofing, and wall panels. By enhancing the understanding of the treated fibers' characteristics, this study contributes to the development of sustainable and high-performance construction materials. The fibers were extracted using both water retting and chemical retting methods. The physico-chemical properties of the fibers were assessed through X-ray diffraction (XRD) analysis, which determined a calculated crystalline index (CI) of 72.14% and a crystalline size of 2.6 nm. Thermo-gravimetric analysis was conducted to evaluate the thermal stability of the APFs, revealing a temperature of 366 degrees C and a maximum degradation temperature of 226.7 degrees C. Mechanical analysis included measurements of the APFs' tensile strength (467.86 MPa), tensile modulus (14.62 GPa), microfibrillar angle (14.79), and elongation at break (3.2%). The findings derived from these analyses suggest that the APFs that underwent treatment exhibit desirable mechanical characteristics, rendering them a viable option for utilization in construction-related materials like reinforcement in concrete, retrofitting, roofing and wall Pannels. This research presents a novel exploration of Acacia pennata fibers (APFs) treated with benzoyl chloride, aiming to establish their potential as reinforcements for construction materials. While natural fiber-reinforced composites have drawn interest, the unique application of APFs in construction and their treatment with benzoyl chloride to enhance properties remain relatively unexplored in the literature. This study fills a significant</t>
  </si>
  <si>
    <t>Priya, Retnam/GWV-4468-2022; Avudaiappan, Siva/AAV-7579-2021; ARUNACHALAM, Dr.KRISHNA PRAKASH/AEW-6862-2022</t>
  </si>
  <si>
    <t>Kozlov, Pavel G/0009-0004-7826-0221; Priya, Krishna/0000-0002-5152-861X; ARUNACHALAM, Dr.KRISHNA PRAKASH/0000-0002-5151-2474</t>
  </si>
  <si>
    <t>2214-5095</t>
  </si>
  <si>
    <t>e02443</t>
  </si>
  <si>
    <t>10.1016/j.cscm.2023.e02443</t>
  </si>
  <si>
    <t>WOS:001077780100001</t>
  </si>
  <si>
    <t>B</t>
  </si>
  <si>
    <t>García, AM; Kogan, B</t>
  </si>
  <si>
    <t>Ferreira, A; Schwieter, JW</t>
  </si>
  <si>
    <t>Garcia, Adolfo M.; Kogan, Boris</t>
  </si>
  <si>
    <t>Interlingual reformulation as a window into the bilingual brain</t>
  </si>
  <si>
    <t>ROUTLEDGE HANDBOOK OF TRANSLATION, INTERPRETING AND BILINGUALISM</t>
  </si>
  <si>
    <t>Routledge Handbooks in Translation and Interpreting Studies</t>
  </si>
  <si>
    <t>Kogan, Boris/HPD-5180-2023; García, Adolfo/E-7150-2017</t>
  </si>
  <si>
    <t>Kogan, Boris/0000-0002-5844-6203</t>
  </si>
  <si>
    <t>978-0-367-62349-4; 978-1-003-10902-0; 978-0-367-62348-7</t>
  </si>
  <si>
    <t>10.4324/9781003109020-9</t>
  </si>
  <si>
    <t>10.4324/9781003109020</t>
  </si>
  <si>
    <t>WOS:001011285400006</t>
  </si>
  <si>
    <t>Assar, S; Khazaei, H; Naseri, M; El-Senduny, F; Momtaz, S; Farzaei, MH; Echeverría, J</t>
  </si>
  <si>
    <t>Assar, Shirin; Khazaei, Hosna; Naseri, Maryam; El-Senduny, Fardous; Momtaz, Saeideh; Farzaei, Mohammad Hosein; Echeverria, Javier</t>
  </si>
  <si>
    <t>Natural Formulations: Novel Viewpoint for Scleroderma Adjunct Treatment</t>
  </si>
  <si>
    <t>JOURNAL OF IMMUNOLOGY RESEARCH</t>
  </si>
  <si>
    <t>Background. Scleroderma is a complex disease involving autoimmune, vascular, and connective tissues, with unknown etiology that can progress through any organ systems. Objective. Yet, no cure is available; the thorough treatment of scleroderma and current treatments are based on controlling inflammation. Nowadays, medicinal plants/natural-based formulations are emerging as important regulators of many diseases, including autoimmune diseases. Here, we provided an overview of scleroderma, also focused on recent studies on medicinal plants/natural-based formulations that are beneficial in scleroderma treatment/prevention. Methods. This study is the result of a search in PubMed, Scopus, and Cochrane Library with scleroderma, systemic sclerosis, plant, herb, and phytochemical keywords. Finally, 22 articles were selected from a total of 1513 results entered in this study. Results. Natural products can modulate the inflammatory and/or oxidative mediators, regulate the production or function of the immune cells, and control the collagen synthesis, thereby attenuating the experimental and clinical manifestation of the disease. Conclusion. Natural compounds can be considered an adjunct treatment for scleroderma to improve the quality of life of patients suffering from this disease.</t>
  </si>
  <si>
    <t>Farzaei, Mohammad/M-5779-2017; El-Senduny, Fardous/E-3512-2019; Echeverría, Javier/AAK-3323-2020</t>
  </si>
  <si>
    <t>Echeverria, Javier/0000-0002-1688-968X; Elsenduny, Fardous/0000-0002-4572-2061</t>
  </si>
  <si>
    <t>2314-8861</t>
  </si>
  <si>
    <t>2314-7156</t>
  </si>
  <si>
    <t>10.1155/2021/9920416</t>
  </si>
  <si>
    <t>WOS:000671870500002</t>
  </si>
  <si>
    <t>Martínez, P; Gloger, S; de Medina, DD; González, A; Carrasco, MI; Schilling, S; Vöhringer, PA</t>
  </si>
  <si>
    <t>Martinez, Pablo; Gloger, Sergio; Diez de Medina, Dante; Gonzalez, Arantza; Carrasco, Maria I.; Schilling, Sara; Vohringer, Paul A.</t>
  </si>
  <si>
    <t>Early Adverse Stress and Depressive and Bipolar Disorders: A Systematic Review and Meta-Analysis of Treatment Interventions</t>
  </si>
  <si>
    <t>FRONTIERS IN PSYCHIATRY</t>
  </si>
  <si>
    <t>Introduction: A significant proportion of adults with depressive or bipolar disorders exposed to early adverse stressors do not adequately respond to standard treatments. This review aimed at synthesizing the evidence on the effectiveness of treatment interventions for depressive or bipolar disorders in adult individuals (aged 18 years or more) exposed to adverse stress early in life. Methods: Systematic review and meta-analysis including experimental and quasi-experimental published studies indexed in CINAHL, EMBASE, PubMed, and Web of Science databases and/or in reference lists. Data management and critical appraisal (with the Study Quality Assessment Tools) was conducted independently by multiple researchers. A quality-effects model for meta-analysis was used for data synthesis and publication bias was assessed using the Doi plot and LFK index. The main outcome was short-term reductions in depressive symptoms. Results: Eight randomized controlled trials, three controlled before-and-after (pre-post) studies, and three uncontrolled before-and-after studies were included. Studies lacked bipolar disorder patients. Unclear randomization procedures and reporting of blinded outcome assessor, and limited use of intention-to-treat analysis, were relevant potential sources of bias. Meta-analyses indicated that psychological, pharmacological, and combined interventions were effective in reducing depressive symptoms in the short- (Cohen's d = -0.55, 95% CI -0.75 to -0.36, I-2 = 0%) and mid-term (Cohen's d = -0.66, 95% CI -1.07 to -0.25, I-2 = 65.0%). However, a high risk of publication bias was detected for these outcomes. A small number of studies, with mixed results, reported interventions with long-term improvements in depressive symptomatology, and short- and mid-term response to treatment and remission. Conclusion: Despite the well-documented long-lasting, negative, and costly impact of early adverse stressors on adult psychopathology, evidence on treatment alternatives remains scant. Trauma-focused treatment interventions-whether psychological interventions alone or in combination with pharmacotherapy-may have the potential to reduce the severity of depressive symptom in adults who were exposed to early adverse stress. Findings must be interpreted with considerable caution, as important study and outcome-level limitations were observed and gray literature was not considered in this systematic review and meta-analysis.</t>
  </si>
  <si>
    <t>Martinez, Pablo/0000-0003-4482-7993; Vohringer, Paul A/0000-0002-2460-4680</t>
  </si>
  <si>
    <t>1664-0640</t>
  </si>
  <si>
    <t>APR 26</t>
  </si>
  <si>
    <t>10.3389/fpsyt.2021.650706</t>
  </si>
  <si>
    <t>WOS:000648442900001</t>
  </si>
  <si>
    <t>Fernández, D; Flores-Santibáñez, F; Neira, J; Osorio-Barrios, F; Tejón, G; Nuñez, S; Hidalgo, Y; Fuenzalida, MJ; Meza, D; Ureta, G; Lladser, A; Pacheco, R; Acuña-Castillo, C; Guixé, V; Quintana, FJ; Bono, MR; Rosemblatt, M; Sauma, D</t>
  </si>
  <si>
    <t>Fernandez, Dominique; Flores-Santibanez, Felipe; Neira, Jocelyn; Osorio-Barrios, Francisco; Tejon, Gabriela; Nunez, Sarah; Hidalgo, Yessia; Jose Fuenzalida, Maria; Meza, Daniel; Ureta, Gonzalo; Lladser, Alvaro; Pacheco, Rodrigo; Acuna-Castillo, Claudio; Guixe, Victoria; Quintana, Francisco J.; Rosa Bono, Maria; Rosemblatt, Mario; Sauma, Daniela</t>
  </si>
  <si>
    <t>Purinergic Signaling as a Regulator of Th17 Cell Plasticity</t>
  </si>
  <si>
    <t>T helper type 17 (Th17) lymphocytes, characterized by the production of interleukin-17 and other pro-inflammatory cytokines, are present in intestinal lamina propria and have been described as important players driving intestinal inflammation. Recent evidence, supporting the notion of a functional and phenotypic instability of Th17 cells, has shown that Th17 differentiate into type 1 regulatory (Tr1) T cells during the resolution of intestinal inflammation. Moreover, it has been suggested that the expression of CD39 ectonucleotidase endows Th17 cells with immunosuppressive properties. However, the exact role of CD39 ectonucleotidase in Th17 cells has not been studied in the context of intestinal inflammation. Here we show that Th17 cells expressing CD39 ectonucleotidase can hydrolyze ATP and survive to ATP-induced cell death. Moreover, in vitro-generated Th17 cells expressing the CD39 ectonucleotidase produce IL-10 and are less pathogenic than CD39 negative Th17 cells in a model of experimental colitis in Rag(-/-) mice. Remarkably, we show that CD39 activity regulates the conversion of Th17 cells to IL-10-producing cells in vitro, which is abrogated in the presence of ATP and the CD39-specific inhibitor ARL67156. All these data suggest that CD39 expression by Th17 cells allows the depletion of ATP and is crucial for IL-10 production and survival during the resolution of intestinal inflammation.</t>
  </si>
  <si>
    <t>Nunez, Sarah/KWU-0850-2024; Acuña-Castillo, Claudio/AAI-7090-2021; Quintana, Francisco/AAB-6915-2020; Bono, Maria/G-7461-2014; Sauma, Daniela/D-8387-2013</t>
  </si>
  <si>
    <t>Nunez, Sarah/0000-0001-8102-8010; Pacheco, Rodrigo/0000-0001-8057-9806; Flores Santibanez, Felipe/0000-0002-6916-3962; Sauma, Daniela/0000-0001-8622-3245; Fernandez, Dominique/0000-0002-9960-3455; Osorio-Barrios, Francisco/0000-0002-6853-7846; Acuna-Castillo, Claudio/0000-0003-3607-6077; HIDALGO FADIC, YESSIA/0000-0002-5203-3686; Ureta, Gonzalo/0000-0002-0201-2780; Lladser, Alvaro/0000-0002-5576-1478</t>
  </si>
  <si>
    <t>JUN 20</t>
  </si>
  <si>
    <t>e0157889</t>
  </si>
  <si>
    <t>10.1371/journal.pone.0157889</t>
  </si>
  <si>
    <t>WOS:000378212000051</t>
  </si>
  <si>
    <t>Sharma, SK; Vargas, JM; Vargas, NM; Castillo-Sepúlveda, S; Altbir, D; Pirota, KR; Zboril, R; Zoppellaro, G; Knobel, M</t>
  </si>
  <si>
    <t>Sharma, Surender K.; Vargas, Jose Marcelo; Vargas, Nicolas Manuel; Castillo-Sepulveda, Sebastian; Altbir, Dora; Pirota, Kleber Roberto; Zboril, Radek; Zoppellaro, Giorgio; Knobel, Marcelo</t>
  </si>
  <si>
    <t>Unusual magnetic damping effect in a silver-cobalt ferrite hetero nano-system</t>
  </si>
  <si>
    <t>The static and dynamic magnetic response of the newly synthesized CoFe2O4-Ag hetero nano-systemshowed significant enhancement in the effective energy barrier and reduction of the magnetic hardness of CoFe2O4 upon interaction with non-magnetic Ag as compared to neat CoFe2O4. The observed magnetic properties of CoFe2O4-Ag have been dissected in detail using the superparamagnetic Stoner-Wohlfarth and Neel-Arrhenius/Vogel-Fulcher models with the aid of micromagnetic simulations.</t>
  </si>
  <si>
    <t>Pirota, Kleber/D-1678-2017; Zoppellaro, Giorgio/F-8453-2012; /K-1530-2019; Vargas, Nicolas/AAP-5975-2020; Altbir, Dora/R-6781-2018; Sharma, Surender Kumar/D-2388-2012; Knobel, Marcelo/A-2843-2009</t>
  </si>
  <si>
    <t>Zoppellaro, Giorgio/0000-0003-2304-2564; Zboril, Radek/0000-0002-3147-2196; Altbir, Dora/0000-0002-2945-4909; Sharma, Surender/0000-0001-6540-8785; Sharma, Surender Kumar/0000-0002-6924-7699; Knobel, Marcelo/0000-0002-6540-9267; Castillo, Sebastian/0000-0001-7730-8773; Vargas, Nicolas/0000-0002-9922-6311</t>
  </si>
  <si>
    <t>10.1039/c4ra14960b</t>
  </si>
  <si>
    <t>WOS:000349556700068</t>
  </si>
  <si>
    <t>Leiva-Salcedo, E; Coddou, C; Rodríguez, FE; Penna, A; Lopez, X; Neira, T; Fernández, R; Imarai, M; Rios, M; Escobar, J; Montoya, M; Huidobro-Toro, JP; Escobar, A; Acuña-Castillo, C</t>
  </si>
  <si>
    <t>Leiva-Salcedo, Elias; Coddou, Claudio; Rodriguez, Felipe E.; Penna, Antonello; Lopez, Ximena; Neira, Tanya; Fernandez, Ricardo; Imarai, Monica; Rios, Miguel; Escobar, Jorge; Montoya, Margarita; Pablo Huidobro-Toro, J.; Escobar, Alejandro; Acuna-Castillo, Claudio</t>
  </si>
  <si>
    <t>Lipopolysaccharide Inhibits the Channel Activity of the P2X7 Receptor</t>
  </si>
  <si>
    <t>MEDIATORS OF INFLAMMATION</t>
  </si>
  <si>
    <t>The purinergic P2X7 receptor (P2X7R) plays an important role during the immune response, participating in several events such as cytokine release, apoptosis, and necrosis. The bacterial endotoxin lipopolysaccharide (LPS) is one of the strongest stimuli of the immune response, and it has been shown that P2X7R activation can modulate LPS-induced responses. Moreover, a C-terminal binding site for LPS has been proposed. In order to evaluate if LPS can directly modulate the activity of the P2X7R, we tested several signaling pathways associated with P2X7R activation in HEK293 cells that do not express the TLR-4 receptor. We found that LPS alone was unable to induce any P2X7R-related activity, suggesting that the P2X7R is not directly activated by the endotoxin. On the other hand, preapplication of LPS inhibited ATP-induced currents, intracellular calcium increase, and ethidium bromide uptake and had no effect on ERK activation in HEK293 cells. In splenocytes-derived T-regulatory cells, in which ATP-induced apoptosis is driven by the P2X7R, LPS inhibited ATP-induced apoptosis. Altogether, these results demonstrate that LPS modulates the activity of the P2X7R and suggest that this effect could be of physiological relevance.</t>
  </si>
  <si>
    <t>Acuña-Castillo, Claudio/AAI-7090-2021; Escobar, Alejandro/I-2775-2013; Penna, Antonello/O-6694-2019; Fernandez, Ricardo/H-3422-2018</t>
  </si>
  <si>
    <t>Acuna-Castillo, Claudio/0000-0003-3607-6077; Imarai, Monica/0000-0001-8767-9180; Coddou, Claudio/0000-0002-5297-3694; Fernandez, Ricardo/0000-0003-4493-9362; Rodriguez-Tirado, Felipe/0000-0002-6554-8187; Montoya, Margarita/0000-0002-6268-1118</t>
  </si>
  <si>
    <t>0962-9351</t>
  </si>
  <si>
    <t>1466-1861</t>
  </si>
  <si>
    <t>10.1155/2011/152625</t>
  </si>
  <si>
    <t>WOS:000296818700001</t>
  </si>
  <si>
    <t>Muñoz-Moya, E; García-Herrera, CM; Lagos, NA; Abarca-Ortega, AF; Checa, AG; Harper, EM</t>
  </si>
  <si>
    <t>Munoz-Moya, Estefano; Garcia-Herrera, Claudio M.; Lagos, Nelson A.; Abarca-Ortega, Aldo F.; Checa, Antonio G.; Harper, Elizabeth M.</t>
  </si>
  <si>
    <t>Evaluation of remodeling and geometry on the biomechanical properties of nacreous bivalve shells</t>
  </si>
  <si>
    <t>Mollusks have developed a broad diversity of shelled structures to protect against challenges imposed by biological interactions(e.g., predation) and constraints (e.g., pCO(2) -induced ocean acidification and wave-forces). Although the study of shell biomechanical properties with nacreous microstructure has provided understanding about the role of shell integrity and functionality on mollusk performance and survival, there are no studies, to our knowledge, that delve into the variability of these properties during the mollusk ontogeny, between both shells of bivalves or across the shell length. In this study, using as a model the intertidal mussel Perumytilus purpuratus to obtain, for the first time, the mechanical properties of its shells with nacreous microstructure; we perform uniaxial compression tests oriented in three orthogonal axes corresponding to the orthotropic directions of the shell material behavior (thickness, longitudinal, and transversal). Thus, we evaluated whether the shell material's stress and strain strength and elastic modulus showed differences in mechanical behavior in mussels of different sizes, between valves, and across the shell length. Our results showed that the biomechanical properties of the material building the P. purpuratus shells are symmetrical in both valves and homogeneous across the shell length. However, uniaxial compression tests performed across the shell thickness showed that biomechanical performance depends on the shell size (aging); and that mechanical properties such as the elastic modulus, maximum stress, and strain become degraded during ontogeny. SEM observations evidenced that compression induced a tortuous fracture with a delamination effect on the aragonite mineralogical structure of the shell. Findings suggest that P. purpuratus may become vulnerable to durophagous predators and wave forces in older stages, with implications in mussel beds ecology and biodiversity of intertidal habitats.</t>
  </si>
  <si>
    <t>Harper, Elizabeth/B-3890-2008; Checa, Antonio/A-6157-2008; García-Herrera, Claudio/ABE-8991-2020; Muñoz-Moya, Estefano/JLM-7441-2023; Abarca Ortega, Aldo Fabian/ABE-4995-2020</t>
  </si>
  <si>
    <t>Munoz-Moya, Estefano/0000-0001-5222-4071; Abarca Ortega, Aldo Fabian/0000-0002-1600-8555</t>
  </si>
  <si>
    <t>JAN 13</t>
  </si>
  <si>
    <t>10.1038/s41598-021-04414-1</t>
  </si>
  <si>
    <t>WOS:000742412100026</t>
  </si>
  <si>
    <t>Vergara, PV; Romero-Jeldres, M; Cortez, EA; Casanova, AM</t>
  </si>
  <si>
    <t>Jeldres, MR; Eitel, ST</t>
  </si>
  <si>
    <t>Villalobos Vergara, Paula; Romero-Jeldres, Marcela; Araya Cortez, Elisa; Mario Casanova, Andres</t>
  </si>
  <si>
    <t>Beginning Teachers: Resilience and Reflection in the Face of Emergency Teaching</t>
  </si>
  <si>
    <t>EDUCACION EN TIEMPOS DE CONFINAMIENTO: Perspectivas de lo Pedagogico</t>
  </si>
  <si>
    <t>This present chapter discusses, describes, sets the main difficulties that beginning teachers have faced to give continuity to the educational process under the conditions generated by the pandemic. The proposed results presented are preliminary from an ongoing qualitative study, in which fifteen teachers work, participate in public schools. Through in-depth semi-structured interviews and content analysis, we look into the personal and contextual conditions and qualities that have favored the resilience of the group, the sample, to address the pandemic pedagogical or educational work. The results show that beginning teachers have remained committed to teaching, making modifications to the curriculum, and using various resources and social networks, to maintain contact with students, emphasizing support and bonding, with a view to contributing to the well-being of those who experience precarious living conditions. However, the pedagogical work developed, carried out responds mostly to individual initiatives that do not necessarily match, conform to the institutional position and guidelines.</t>
  </si>
  <si>
    <t>Romero-Jeldres, Marcela/AAJ-4083-2020</t>
  </si>
  <si>
    <t>978-956-7062-96-6; 978-956-7062-95-9</t>
  </si>
  <si>
    <t>10.5281/zenodo.4697584</t>
  </si>
  <si>
    <t>WOS:000762368600006</t>
  </si>
  <si>
    <t>Prabhakaran, T; Udayabhaskar, R; Mangalaraja, RV; Sahlevani, SF; Freire, RM; Denardin, JC; Béron, F; Varaprasad, K; Gracia-Pinilla, MA; Vinicius-Araujo, M; Bakuzis, AF</t>
  </si>
  <si>
    <t>Prabhakaran, T.; Udayabhaskar, R.; Mangalaraja, R. V.; Sahlevani, Saeed Farhang; Freire, Rafael M.; Denardin, Juliano C.; Beron, F.; Varaprasad, Kokkarachedu; Angel Gracia-Pinilla, Miguel; Vinicius-Araujo, Marcus; Bakuzis, Andris F.</t>
  </si>
  <si>
    <t>Probing the Defect-Induced Magnetocaloric Effect on Ferrite/Graphene Functional Nanocomposites and their Magnetic Hyperthermia</t>
  </si>
  <si>
    <t>JOURNAL OF PHYSICAL CHEMISTRY C</t>
  </si>
  <si>
    <t>Recently, the development of an alternative magnetic refrigerant for the conventional fossil fuels attracts the researchers. We discussed the structural defect-induced magnetocaloric effect (MCE) in Ni0.3Zn0.7Fe2O4/graphene (NZF/G) nanocomposites for the first time. Single-phase spinel ferrite nanocomposites with an average size of 7-11.4 nm were achieved by using the microwave-assisted coprecipitation method. The effect of graphene loading on the structural and magnetism of NZF/G nanocomposites was elaborated. Raman analysis proved that the interface interaction between NZF and graphene yielded different densities of structural defects. In view of magnetism, superparamagnetic NZF nanoparticles showed a magnetic entropy change (-Delta S-M(max)) of -0.678 J.kg(-1) K-1 at 135 K, whereas the NZF/G nanocomposites exhibited superior -Delta S-M(max) at cryogenic temperatures and the defect-induced MCE change was indeed similar to the I-D/I-G intensity ratio. The nanocomposites exhibited different magnetic orderings between 5 and 295 K, and it was varying for I-D/I-G, 1.83 &gt; 1.68 &gt; 1.57 as antiferromagnetic (AFM) &gt; AFM/ferrimagnetic (FiM) &gt; FiM, respectively. Till now, NZF/G nanocomposites showed an inverse MCE of 4.378 J.kg(-1) K-1 at 35 K and a refrigerant capacity of 88 J.kg(-1) for 40 kOe, which was greater than the ferrites reported so far. Finally, MCE and magnetic hyperthermia were correlated at ambient conditions. These results pave the way for ferrite/graphene nanocomposites for cooling applications.</t>
  </si>
  <si>
    <t>Viswanathan, Mangalaraja/AAM-6090-2020; Varaprasad, Kokkarachedu/F-9505-2012; Bakuzis, Andris/L-6543-2016; Denardin, Juliano/S-6407-2019; Ramalinga Viswanathan, Mangalaraja/JOZ-3129-2023; Beron, Fanny/H-5923-2012; rednam, udayabhaskar/D-8704-2014; Gracia-Pinilla, Miguel Angel/M-7508-2014</t>
  </si>
  <si>
    <t>Melo Freire, Rafael/0000-0002-0914-4962; Ramalinga Viswanathan, Mangalaraja/0000-0003-1016-9830; Beron, Fanny/0000-0002-4926-2963; VINICIUS ARAUJO, MARCUS/0000-0002-4519-8407; rednam, udayabhaskar/0000-0002-6434-0560; Gracia-Pinilla, Miguel Angel/0000-0002-4716-4817; Varaprasad, Kokkarachedu/0000-0002-1694-3447; Farhang Sahlevani, Saeed/0000-0001-5271-9306; Bakuzis, Andris/0000-0003-3366-106X</t>
  </si>
  <si>
    <t>1932-7447</t>
  </si>
  <si>
    <t>1932-7455</t>
  </si>
  <si>
    <t>OCT 24</t>
  </si>
  <si>
    <t>10.1021/acs.jpcc.9b07076</t>
  </si>
  <si>
    <t>WOS:000492803300036</t>
  </si>
  <si>
    <t>Wang, TH; Hu, YF; Wangkahart, E; Liu, FG; Wang, A; Zahran, E; Maisey, KR; Liu, M; Xu, QQ; Imarai, M; Secombes, CJ</t>
  </si>
  <si>
    <t>Wang, Tiehui; Hu, Yehfang; Wangkahart, Eakapol; Liu, Fuguo; Wang, Alex; Zahran, Eman; Maisey, Kevin R.; Liu, Min; Xu, Qiaoqing; Imarai, Monica; Secombes, Christopher J.</t>
  </si>
  <si>
    <t>Interleukin (IL)-2 Is a Key Regulator of T Helper 1 and T Helper 2 Cytokine Expression in Fish: Functional Characterization of Two Divergent IL2 Paralogs in Salmonids</t>
  </si>
  <si>
    <t>Mammalian interleukin (IL)-2 is a cytokine centrally involved in the differentiation and survival of CD4+ T helper subsets and CD4+ T regulatory cells and in activation of cytotoxic effector lymphocytes. In bony fish, IL2 orthologs have been identified with an additional divergent IL2-Like gene on the same locus present in several fish species. We report here two divergent IL2 paralogs, IL2A and IL2B, in salmonids that originated from the whole genome duplication event in this fish lineage. The salmonid IL2 paralogs differ not only in sequence but also in exon sizes. The IL-2 isoforms that are encoded have disparate pl values and may have evolved to preferentially bind specific IL-2 receptors. Rainbow trout IL2 paralogs are highly expressed in thymus, spleen, gills, kidney and intestine, important tissues/organs in fish T cell development and function. Their expression in peripheral blood leukocytes (PBL) is low constitutively but can be upregulated by the mixed leukocyte reaction, by the T cell mitogen phytohemagglutinin and by signal mimics of T cell activation (phorbol 12-myristate 13 -acetate and calcium ionophore). Both trout IL-2 isoforms promoted PBL proliferation and sustained high-level expression of CD4 and CD8, suggesting that trout IL-2 isoforms are T cell growth/survival factors mainly expressed by activated T cells. The recombinant proteins for these two trout IL2 paralogs have been produced in E. coli and possess shared but also distinct bioactivities. IL-2A, but not IL-2B, induced ILI 2P35A1 and CXCR1 expression in PBL. IL-2B had a stronger effect on upregulation of the T helper 1 (Th1) cytokine interferon-gamma (1FN gamma) and could sustain CD8a and CD8 beta expression levels. Nevertheless, both cytokines upregulated key Th1 (IFN gamma 1, IFN gamma 2, TNF alpha 2 and IL12) and T helper 2 (Th2) cytokines (IL4/1381 and IL4/13B2), cytokine and chemokine receptors and the antimicrobial peptide cathelicidin-1 but had limited effects on T helper 17 cytokines and TGF beta 1 in PBL. They could also enhance PBL phagocytosis. These results suggest, for the first time in fish, that IL-2 isoforms may have an important role in regulating Th1 and Th2 cell development, and innate and adaptive host defenses in fish, and shed light on lineage-specific expansion, evolution, and functional diversification of IL2 in vertebrates.</t>
  </si>
  <si>
    <t>Zahran, Eman/AAM-7733-2020; Liu, Fuguo/IAO-2575-2023; Wangkahart, Eakapol/AAM-5099-2020; Maisey, Kevin/AAP-2886-2021</t>
  </si>
  <si>
    <t>Maisey, Kevin/0000-0002-7423-6329</t>
  </si>
  <si>
    <t>JUL 26</t>
  </si>
  <si>
    <t>10.3389/fimmu.2018.016813</t>
  </si>
  <si>
    <t>WOS:000439846000001</t>
  </si>
  <si>
    <t>Araya-Hermosilla, R; Martínez, J; Loyola, CZ; Ramírez, S; Salazar, S; Henry, CS; Lavín, R; Silva, N</t>
  </si>
  <si>
    <t>Araya-Hermosilla, Rodrigo; Martinez, Jessica; Loyola, Cesar Zuniga; Ramirez, Sara; Salazar, Sebastian; Henry, Charles S.; Lavin, Roberto; Silva, Nataly</t>
  </si>
  <si>
    <t>Fast and easy synthesis of silver, copper, and bimetallic nanoparticles on cellulose paper assisted by ultrasound</t>
  </si>
  <si>
    <t>ULTRASONICS SONOCHEMISTRY</t>
  </si>
  <si>
    <t>This work focuses on a systematic method to produce Ag, Cu, and Ag/Cu metallic nanoparticles (MNPs) in situ assisted with ultrasound on cellulose paper. By tuning the concentration of AgNO3 and CuSO4 salt precursors and ultrasound time, combined with a fixed concentration of ascorbic acid (AA) as a reducing agent, it was possible to control the size, morphology, and polydispersity of the resulting MNPs on cellulose papers. Notably, high yield and low polydispersity of MNPs and bimetallic nanoparticles are achieved by increasing the sonication time on paper samples pre-treated with salt precursors before reduction with AA. Moreover, mechanical analysis on paper samples presenting well-dispersed and distributed MNPs showed slightly decreasing values of Young's modulus compared to neat papers. The strain at break is substantially improved in papers containing solely Ag or Cu MNPs. The latter suggests that the elastic/plastic transition and deformation of papers are tuned by cellulose and MNPs interfacial interaction, as indicated by mechanical analysis. The proposed method provides insights into each factor affecting the sonochemistry in situ synthesis of MNPs on cellulose papers. In addition, it offers a straightforward alternative to scale up the production of MNPs on paper, ensuring an eco-friendly method.</t>
  </si>
  <si>
    <t>Henry, Charles/AAG-8084-2019; Martinez, Jessica/JDW-9946-2023; Hermosilla, Rodrigo/Y-7833-2018; Zúñiga-Loyola, César/AAN-5621-2021; SALAZAR SANDOVAL, SEBASTIAN ANDRES/MAI-5360-2025</t>
  </si>
  <si>
    <t>Silva, Nataly/0000-0002-1830-5182; Martinez Arenas, Jessica Isabel/0000-0001-8854-3103; Ramirez Pasten, Sara/0000-0003-2109-0490; Zuniga-Loyola, Cesar/0000-0002-0894-3383; SALAZAR SANDOVAL, SEBASTIAN ANDRES/0000-0002-5195-4432</t>
  </si>
  <si>
    <t>1350-4177</t>
  </si>
  <si>
    <t>1873-2828</t>
  </si>
  <si>
    <t>10.1016/j.ultsonch.2023.106545</t>
  </si>
  <si>
    <t>AUG 2023</t>
  </si>
  <si>
    <t>WOS:001063070800001</t>
  </si>
  <si>
    <t>Martínez-Velilla, N; Valenzuela, PL; de Asteasu, MLS; Zambom-Ferraresi, F; Ramírez-Vélez, R; García-Hermoso, A; Librero-López, J; Gorricho, J; Pérez, FE; Lucia, A; Izquierdo, M</t>
  </si>
  <si>
    <t>Martinez-Velilla, Nicolas; Valenzuela, Pedro L.; de Asteasu, Mikel L. Saez; Zambom-Ferraresi, Fabricio; Ramirez-Velez, Robinson; Garcia-Hermoso, Antonio; Librero-Lopez, Julian; Gorricho, Javier; Perez, Federico Esparza; Lucia, Alejandro; Izquierdo, Mikel</t>
  </si>
  <si>
    <t>Effects of a Tailored Exercise Intervention in Acutely Hospitalized Oldest Old Diabetic Adults: An Ancillary Analysis</t>
  </si>
  <si>
    <t>JOURNAL OF CLINICAL ENDOCRINOLOGY &amp; METABOLISM</t>
  </si>
  <si>
    <t>Objective To analyze the effects of a tailored exercise intervention in acutely hospitalized elderly diabetic patients. Research Design and Methods This is an ancillary analysis of a randomized controlled trial (RCT). A total of 103 acutely hospitalized elderly adults (mean age similar to 87 years) with type II diabetes were randomized to an intervention (exercise, n = 54) or control group (usual care, n = 49). The primary endpoint was change in functional status from baseline to hospital discharge as assessed with the Barthel Index and the Short Physical Performance Battery (SPPB). Secondary endpoints comprised cognitive function and mood status, quality of life (QoL), incidence of delirium, and handgrip strength. Exercise-related side effects, length of hospital stay, and incidence of falls during hospitalization were also assessed, as well as transfer to nursing homes, hospital readmission, and mortality during a 3-month follow-up. Results The median length of stay was 8 days (interquartile range, 4) for both groups. The intervention was safe and provided significant benefits over usual care on SPPB (2.7 [95% confidence interval (CI) 1.8, 3.5]) and Barthel Index (8.5 [95% CI: 3.9, 13.1]), as well as on other secondary endpoints such as cognitive status, depression, QoL, and handgrip strength (all P &lt; 0.05). No significant between-group differences were found for the remainder of secondary endpoints. Conclusions An in-hospital individualized multicomponent exercise intervention was safe and effective for the prevention of functional and cognitive decline in acutely hospitalized elderly diabetic patients, although it had no influence on other endpoints assessed during hospitalization or at the 3-month follow-up after discharge.</t>
  </si>
  <si>
    <t>García-Hermoso, Antonio/ADU-2591-2022; Asteasu, Mikel/A-8973-2017; Valenzuela, Pedro/O-7601-2019; Ramirez-Velez, Robinson/D-5311-2016; Gorricho, Javier/H-2065-2015; Librero, Julian/F-4947-2017; Zambom-Ferraresi, Fabricio/M-1906-2018; Izquierdo, Mikel/A-4894-2010; Garcia-Hermoso, Antonio/P-1857-2017; Martinez-Velilla, Nicolas/A-6942-2017</t>
  </si>
  <si>
    <t>Ramirez-Velez, Robinson/0000-0003-3075-6960; Gorricho, Javier/0000-0003-3609-9922; Librero, Julian/0000-0002-4859-9054; Zambom-Ferraresi, Fabricio/0000-0002-8377-9827; Izquierdo, Mikel/0000-0002-1506-4272; Garcia-Hermoso, Antonio/0000-0002-1397-7182; Martinez-Velilla, Nicolas/0000-0001-9576-9960; Saez de Asteasu, Mikel Lopez/0000-0002-4111-5045</t>
  </si>
  <si>
    <t>0021-972X</t>
  </si>
  <si>
    <t>1945-7197</t>
  </si>
  <si>
    <t>E899</t>
  </si>
  <si>
    <t>E906</t>
  </si>
  <si>
    <t>10.1210/clinem/dgaa809</t>
  </si>
  <si>
    <t>WOS:000759115900070</t>
  </si>
  <si>
    <t>Manikandan, V; Petrila, I; Kavita, S; Mane, RS; Denardin, JC; Lundgaard, S; Juodkazis, S; Vigneselvan, S; Chandrasekaran, J</t>
  </si>
  <si>
    <t>Manikandan, V; Petrila, Iulian; Kavita, S.; Mane, R. S.; Denardin, Juliano C.; Lundgaard, Stefan; Juodkazis, Saulius; Vigneselvan, S.; Chandrasekaran, J.</t>
  </si>
  <si>
    <t>Effect of Vd-doping on dielectric, magnetic and gas sensing properties of nickel ferrite nanoparticles</t>
  </si>
  <si>
    <t>JOURNAL OF MATERIALS SCIENCE-MATERIALS IN ELECTRONICS</t>
  </si>
  <si>
    <t>Pristine and vanadium-doped nickel ferrite (NiFe2O4) nanoparticles (NPs) were prepared by a chemical co-precipitation method. They were characterized by X-ray diffraction, scanning electron microscopy and X-ray photoelectron spectroscopy to explore their crystallinity, morphology and chemical states. Dielectric constant and dielectric loss properties were studied as a function of frequency and temperature and it was found that V-doping resulted in the enhancement of the dielectric properties. Both pristine and V-doped ferrites showed superparamagnetic nature and zero coercivity and retentivity. However, the saturation magnetization was decreased after V-doping, suggesting presence of superexchange interaction between A-B sites. Both pristine and V-doped NiFe(2)O(4)NPs were also used for NO sensing studies and it was revealed that V-doped gas sensor revealed a better sensing performance (response of 5 s and sensitivity of 43 to 200 ppm NO gas) than pristine one (response of 9 s and sensitivity of 37 to 200 ppm NO gas).</t>
  </si>
  <si>
    <t>Juodkazis, Saulius/Q-6943-2019; Chandrasekaran, J/ADV-4912-2022; Mane, Rajaram/B-8338-2009; Venkatraman, Manikandan/AAB-7946-2019; Petrila, Iulian/D-8405-2011; Denardin, Juliano/S-6407-2019; Juodkazis, Saulius/D-7615-2011</t>
  </si>
  <si>
    <t>Chandrasekaran, J./0000-0002-3911-9004; Venkatraman, Manikandan/0000-0003-4882-2663; Lundgaard, Stefan/0000-0003-2463-8562; Juodkazis, Saulius/0000-0003-3542-3874</t>
  </si>
  <si>
    <t>0957-4522</t>
  </si>
  <si>
    <t>1573-482X</t>
  </si>
  <si>
    <t>10.1007/s10854-020-04228-3</t>
  </si>
  <si>
    <t>AUG 2020</t>
  </si>
  <si>
    <t>WOS:000560636100005</t>
  </si>
  <si>
    <t>González, W; Núñez-Vivanco, G; Ramírez, D; Kiper, AK; Rinné, S; Bedoya, M; Sánchez, L; Márquez-Montesinos, JC; Reyes-Parada, M; Yarov-Yarovoy, V; Decher, N</t>
  </si>
  <si>
    <t>Gonzalez, W.; Nunez-Vivanco, G.; Ramirez, D.; Kiper, A. K.; Rinne, S.; Bedoya, M.; Sanchez, L.; Marquez-Montesinos, J. C.; Reyes-Parada, M.; Yarov-Yarovoy, V.; Decher, N.</t>
  </si>
  <si>
    <t>A receptophore model for local anesthetics binding site in cardiac ion channels</t>
  </si>
  <si>
    <t>ACTA PHYSIOLOGICA</t>
  </si>
  <si>
    <t>Bedoya, Mauricio/GOH-1741-2022; Decher, Niels/AAF-5002-2020; Bedoya, Mauricio/HPF-6121-2023</t>
  </si>
  <si>
    <t>Bedoya, Mauricio/0000-0002-3542-7528</t>
  </si>
  <si>
    <t>1748-1708</t>
  </si>
  <si>
    <t>1748-1716</t>
  </si>
  <si>
    <t>B 08-3</t>
  </si>
  <si>
    <t>WOS:000487978200370</t>
  </si>
  <si>
    <t>Díaz-Ortega, IF; Herrera, JM; Aravena, D; Ruiz, E; Gupta, T; Rajaraman, G; Nojiri, H; Colacio, E</t>
  </si>
  <si>
    <t>Diaz-Ortega, Ismael F.; Herrera, Juan Manuel; Aravena, Daniel; Ruiz, Eliseo; Gupta, Tulika; Rajaraman, Gopalan; Nojiri, H.; Colacio, Enrique</t>
  </si>
  <si>
    <t>Designing a Dy2 Single-Molecule Magnet with Two Well Differentiated Relaxation Processes by Using a Nonsymmetric Bisbidentate Bipyrimidine-N-Oxide Ligand: A Comparison with Mononuclear Counterparts</t>
  </si>
  <si>
    <t>Herein we report a dinuclear [(N-mbpymNO)-{(tmh)(3)Dy}(2)] (1) single-molecule magnet (SMM) showing two nonequivalent Dy-III centers, which was rationally prepared from the reaction of Dy(tmh)(3) moieties (tmh = 2,2,6,6-tetramethyl-3,5-heptanedionate) and the asymmetric bis-bidentate bridging ligand 4-methylbipyrimidine (mbpymNO). Depending on whether the Dym ions coordinate to the NAO or NAN bidentate donor sets, the Dym sites present a NO7 (D2d geometry) or N206 (D4d) coordination sphere. As a consequence, two different thermally activated magnetic relaxation processes are observed with anisotropy barriers of 47.8 and 54.7 K. Ab initio calculations confirm the existence of two different relaxation phenomena and allow one to assign the 47.8 and 54.7 K energy barriers to the Dy(N2O6) and Dy(NO7) sites, respectively. Two mononuclear complexes, [Dy(tta)3(mbpymNO)] (2) and [Dy(tmh)3(phenNO)] (3), have also been prepared for comparative purposes. In both cases, the Dym center shows a NO7 coordination sphere and SMM behavior is observed with [Jeff values of 71.S K (2) and 120.7 K (3). In all three cases, ab initio calculations indicate that relaxation of the magnetization takes place mainly via the first excited-state Kramers doublet through Orbach, Raman, and thermally assisted quantum-tunnelling mechanisms. Pulse magnetization measurements reveal that the dinuclear and mononuclear complexes exhibit hysteresis loops with double- and single-step structures, respectively, thus supporting their SMM behavior.</t>
  </si>
  <si>
    <t>Enrique, Colacio/L-6020-2014; NOJIRI, HIROYUKI/B-3688-2011; Ruiz, Eliseo/A-6268-2011; Diaz Ortega, Ismael Francisco/B-3049-2019; Herrera Martinez, Juan Manuel/K-3590-2014; Aravena, Daniel/F-2174-2011</t>
  </si>
  <si>
    <t>Gupta, Tulika/0000-0001-6759-127X; Ruiz, Eliseo/0000-0001-9097-8499; NOJIRI, HIROYUKI/0000-0002-9676-7710; Diaz Ortega, Ismael Francisco/0000-0002-6150-4611; Herrera Martinez, Juan Manuel/0000-0002-9255-227X; Rajaraman, Gopalan/0000-0001-6133-3026; Aravena, Daniel/0000-0003-3140-4852</t>
  </si>
  <si>
    <t>1520-510X</t>
  </si>
  <si>
    <t>JUN 4</t>
  </si>
  <si>
    <t>10.1021/acs.inorgchem.8b00427</t>
  </si>
  <si>
    <t>WOS:000434491700022</t>
  </si>
  <si>
    <t>Letelier, K; Parra-Melipan, S; Negrete-Vergara, C; López, V; Valdebenito, G; Artigas, V; Aranda, B; Vega, A; Moya, SA; Aguirre, P</t>
  </si>
  <si>
    <t>Letelier, K.; Parra-Melipan, S.; Negrete-Vergara, C.; Lopez, V.; Valdebenito, G.; Artigas, V.; Aranda, B.; Vega, A.; Moya, S. A.; Aguirre, P.</t>
  </si>
  <si>
    <t>High activities of nickel (II) complexes containing phosphorus-nitrogen ligands in hydrogen transfer reaction of imines using formic acid as a renewable hydrogen source</t>
  </si>
  <si>
    <t>MOLECULAR CATALYSIS</t>
  </si>
  <si>
    <t>The catalytic reduction of imines to obtain secondary amines is an important route in the synthesis of molecules of biological or pharmaceutical interest. A series of new nickel (II) complexes bearing phosphorous-nitrogen (P, N) or phosphorous-nitrogen-phosphorous (P,N,P) ligands were characterized and studied as catalysts in hydrogen transfer reaction of imines, using formic acid as a hydrogen source, while avoiding the use of molecular hydrogen (H2). The complexes, of general formula NiCl2(L), [Ni(L)2](CF3SO3)2 (in which L is a P,N ligand) and [NiCl(L)]Cl (in the case of a tridentate PNP ligand), were active catalysts in the imine hydrogen, with turnover frequencies (TOF) up to 373 h-1 with NiCl2L1 complex (L1 = 2-(diphenylphosphinoamino) pyridine) and Nbenzylideneaniline as substrate, while a [Ni(L)2](CF3SO3)2 complex bearing the same P,N ligand achieved a slightly lower activity (TOF = 320 h-1). Catalyst recyclability was also studied, achieving near full conversion after four cycles, with a total substrate/catalyst ratio of 1000:1.</t>
  </si>
  <si>
    <t>Negrete, Camila/GQZ-2620-2022; Vega, Andres/B-2122-2010</t>
  </si>
  <si>
    <t>Valdebenito, Gonzalo/0000-0003-2931-9288; Aranda, Braulio/0000-0001-6260-3374; Negrete Vergara, Camila/0000-0003-1488-9106; Parra-Melipan, Sebastian/0000-0003-2026-3935</t>
  </si>
  <si>
    <t>2468-8231</t>
  </si>
  <si>
    <t>10.1016/j.mcat.2023.113262</t>
  </si>
  <si>
    <t>WOS:001013219500001</t>
  </si>
  <si>
    <t>Riquelme, R; Rezende, LFM; Marques, A; Drenowatz, C; Ferrari, G</t>
  </si>
  <si>
    <t>Riquelme, Ricardo; Rezende, Leandro F. M.; Marques, Adilson; Drenowatz, Clemens; Ferrari, Gerson</t>
  </si>
  <si>
    <t>Association between 24-h movement guidelines and cardiometabolic health in Chilean adults</t>
  </si>
  <si>
    <t>This study aimed to examine the association between meeting 24-h movement guidelines and cardiometabolic health in Chilean adults. We used cross-sectional data of 2618 adults from the Chilean National Health Survey 2016-2017. Meeting the 24-h movement guidelines was defined as &gt;= 600 MET-min/week of physical activity; &lt;= 8 h/day of sitting time; and 7 to 9 h/day of sleep duration. Cardiometabolic health indicators were body mass index, waist circumference, high triglycerides, high blood pressure, type 2 diabetes, metabolic syndrome, and risk of cardiovascular disease in a 10-year period. Meeting none out of three 24-h movement guidelines (vs all three) was associated with higher odds of overweight/obesity (OR 1.67; 95%CI 1.45 to 1.89), high waist circumference (1.65; 1.40 to 1.90), hypertension (2.88; 2.23 to 3.53), type 2 diabetes (1.60; 1.26 to 1.94), metabolic syndrome (1.97; 1.54 to 2.40) and risk of cardiovascular disease (1.50; 1.20, 1.80). Meeting one guideline (vs three) was associated with higher odds of five of out seven cardiometabolic indicators. Our study found that the composition of movement behaviors within a 24-h period may have important implications for cardiometabolic health.</t>
  </si>
  <si>
    <t>Ferrari, Gerson/ABG-6635-2021; Rezende, Leandro/C-1724-2012; Marques, Adilson/K-4529-2014; Ferrari, Gerson/P-1152-2014</t>
  </si>
  <si>
    <t>Rezende, Leandro/0000-0002-7469-1399; Riquelme, Ricardo/0009-0003-3277-1301; Marques, Adilson/0000-0001-9850-7771; Ferrari, Gerson/0000-0003-3177-6576</t>
  </si>
  <si>
    <t>APR 6</t>
  </si>
  <si>
    <t>10.1038/s41598-022-09729-1</t>
  </si>
  <si>
    <t>WOS:000780164200064</t>
  </si>
  <si>
    <t>López-Gil, JF; Ramírez-Vélez, R; Flórez-López, ME; Izquierdo, M; García-Hermoso, A</t>
  </si>
  <si>
    <t>Lopez-Gil, Jose Francisco; Ramirez-Velez, Robinson; Florez-Lopez, Maria Eugenia; Izquierdo, Mikel; Garcia-Hermoso, Antonio</t>
  </si>
  <si>
    <t>Meeting physical activity and screen time among Colombian adolescents with or without sensory-related problems</t>
  </si>
  <si>
    <t>The aim of this study was to assess the extent to which adolescents with and without visual and hearing-related problems meet physical activity (PA) and recreational screen time (ST) recommendations in a representative Colombian sample. A total of 35,404 adolescents aged 13-17 years were included from the Encuesta Nacional de Salud Escolar (ENSE) (Colombia). Sociodemographic-related information, anthropometric variables, PA, ST, and both visual- and hearing-related problems were collected by self-administered questionnaires. The prevalence of adolescents meeting with PA, ST, and both recommendations was 14.8%, 53.4%, and 7.8%, respectively. Both sexes with visual- (males: OR=0.70, 95%CI 0.59-0.83; females: OR=0.73, 95%CI 0.61-0.88) and hearing-related problems (males, OR=0.75, 95%CI 0.61-0.93; females, OR=0.76, 95%CI 0.61-0.94) are less likely to meet combined recommendations. Sensory problems such as vision- and hearing-related problems could be considered key barriers to engagement in PA and facilitators of recreational ST in Colombian adolescents.</t>
  </si>
  <si>
    <t>García-Hermoso, Antonio/ADU-2591-2022; Flórez-López, María/U-3290-2019; López-Gil, José Francisco/AAN-5618-2020; Izquierdo, Mikel/A-4894-2010; Ramirez-Velez, Robinson/D-5311-2016; Garcia-Hermoso, Antonio/P-1857-2017</t>
  </si>
  <si>
    <t>Izquierdo, Mikel/0000-0002-1506-4272; Lopez-Gil, Jose Francisco/0000-0002-7412-7624; Ramirez-Velez, Robinson/0000-0003-3075-6960; Florez-Lopez, Maria Eugenia/0000-0002-4536-6781; Garcia-Hermoso, Antonio/0000-0002-1397-7182</t>
  </si>
  <si>
    <t>10.1111/sms.14026</t>
  </si>
  <si>
    <t>WOS:000681107500001</t>
  </si>
  <si>
    <t>Heydarpour, F; Sajadimajd, S; Mirzarazi, E; Haratipour, P; Joshi, T; Farzaei, MH; Khan, H; Echeverría, J</t>
  </si>
  <si>
    <t>Heydarpour, Fatemeh; Sajadimajd, Soraya; Mirzarazi, Elahe; Haratipour, Pouya; Joshi, Tanuj; Farzaei, Mohammad Hosein; Khan, Haroon; Echeverria, Javier</t>
  </si>
  <si>
    <t>Involvement of TGF-β and Autophagy Pathways in Pathogenesis of Diabetes: A Comprehensive Review on Biological and Pharmacological Insights</t>
  </si>
  <si>
    <t>Despite recent advancements in clinical drugs, diabetes treatment still needs further progress. As such, ongoing research has attempted to determine the precise molecular mechanisms of the disorder. Specifically, evidence supports that several signaling pathways play pivotal roles in the development of diabetes. However, the exact molecular mechanisms of diabetes still need to be explored. This study examines exciting new hallmarks for the strict involvement of autophagy and TGF-beta signaling pathways in the pathogenesis of diabetes and the design of novel therapeutic strategies. Dysregulated autophagy in pancreatic beta cells due to hyperglycemia, oxidative stress, and inflammation is associated with diabetes and accompanied by dysregulated autophagy in insulin target tissues and the progression of diabetic complications. Consequently, several therapeutic agents such as adiponectin, ezetimibe, GABA tea, geniposide, liraglutide, guava extract, and vitamin D were shown to inhibit diabetes and its complications through modulation of the autophagy pathway. Another pathway, TGF-beta signaling pathway, appears to play a part in the progression of diabetes, insulin resistance, and autoimmunity in both type 1 and 2 diabetes and complications in diabetes. Subsequently, drugs that target TGF-beta signaling, especially naturally derived ones such as resveratrol, puerarin, curcumin, hesperidin, and silymarin, as well as Propolis,Lycopus lucidus, andMomordica charantiaextracts, may become promising alternatives to current drugs in diabetes treatment. This review provides keen insights into novel therapeutic strategies for the medical care of diabetes.</t>
  </si>
  <si>
    <t>Farzaei, Mohammad/M-5779-2017; Heydarpour, Fatemeh/S-9380-2017; Joshi, Tanuj/AAV-2610-2020; Echeverría, Javier/AAK-3323-2020; Haratipour, Pouya/J-9454-2017; Khan, Prof. Dr. Haroon/AAY-1785-2020</t>
  </si>
  <si>
    <t>Sajadimajd, Soraya/0000-0002-9188-1426; Echeverria, Javier/0000-0002-1688-968X</t>
  </si>
  <si>
    <t>SEP 15</t>
  </si>
  <si>
    <t>10.3389/fphar.2020.498758</t>
  </si>
  <si>
    <t>WOS:000576200800001</t>
  </si>
  <si>
    <t>Liras, M; Simoncelli, S; Rivas-Aravena, A; García, O; Scaiano, JC; Alarcon, EI; Aspée, A</t>
  </si>
  <si>
    <t>Liras, M.; Simoncelli, S.; Rivas-Aravena, A.; Garcia, O.; Scaiano, J. C.; Alarcon, E. I.; Aspee, A.</t>
  </si>
  <si>
    <t>Nitroxide amide-BODIPY probe behavior in fibroblasts analyzed by advanced fluorescence microscopy</t>
  </si>
  <si>
    <t>ORGANIC &amp; BIOMOLECULAR CHEMISTRY</t>
  </si>
  <si>
    <t>A novel synthesized nitroxide amide-BODIPY prefluorescent probe was used to study cellular redox balance that modulates nitroxide/hydroxylamine ratio in cultured human fibroblasts. FLIM quantitatively differentiated between nitroxide states of the cytoplasm-localized probe imaged by TIRF, monitoring nitroxide depletion by hydrogen peroxide; eluding incorrect interpretation if only fluorescence intensity is considered.</t>
  </si>
  <si>
    <t>Liras, Marta/K-1504-2019; Simoncelli, Sabrina/AAZ-3729-2020; Garcia, Olga/G-2004-2013; Liras, Marta/K-8093-2014</t>
  </si>
  <si>
    <t>Garcia, Olga/0000-0002-1474-8250; Simoncelli, Sabrina/0000-0001-7089-7667; Scaiano, Juan/0000-0002-4838-7123; Liras, Marta/0000-0002-1724-1586</t>
  </si>
  <si>
    <t>1477-0520</t>
  </si>
  <si>
    <t>1477-0539</t>
  </si>
  <si>
    <t>10.1039/c6ob00533k</t>
  </si>
  <si>
    <t>WOS:000374878400003</t>
  </si>
  <si>
    <t>Venegas-Yazigi, D; Mirza, H; Lever, ABP; Lough, AJ; Costamagna, J; Latorre, R</t>
  </si>
  <si>
    <t>(Acetonitrile-N)(o-benzoquinone diimine-N,N′)chloro-trans-bis(triphenylphosphine-P)ruthenium(II) hexafluorophosphate 0.25-hydrate</t>
  </si>
  <si>
    <t>ACTA CRYSTALLOGRAPHICA SECTION C-CRYSTAL STRUCTURE COMMUNICATIONS</t>
  </si>
  <si>
    <t>The Ru atom in the title compound, [RuCl(CH3CN){P(C6 H-5)(3)}(2){C6H4(NH)(2)}]PF6. 0.25H(2)O, has a six-coordinate octahedral geometry, with a trans arrangement of the triphenylphosphine groups. The asymmetric unit contains two complex molecules and a partially occupied water site. Principal dimensions include Ru-N 1.958 (4)-2.044 (5), Ru-P 2.3897 (16)-2.4092 (15), and Ru-Cl 2.4280 (15) and 2.4295 (16) Angstrom.</t>
  </si>
  <si>
    <t>Venegas-Yazigi, Diego/C-5022-2009</t>
  </si>
  <si>
    <t>Venegas-Yazigi, Diego/0000-0001-7816-2841</t>
  </si>
  <si>
    <t>0108-2701</t>
  </si>
  <si>
    <t>E247</t>
  </si>
  <si>
    <t>E248</t>
  </si>
  <si>
    <t>WOS:000087633000054</t>
  </si>
  <si>
    <t>Tuninetti, V; Fuentes, G; Oñate, A; Narayan, S; Celentano, D; García-Herrera, C; Menacer, B; Pincheira, G; Garrido, C; Valle, R</t>
  </si>
  <si>
    <t>Tuninetti, Victor; Fuentes, Geovanni; Onate, Angelo; Narayan, Sunny; Celentano, Diego; Garcia-Herrera, Claudio; Menacer, Brahim; Pincheira, Gonzalo; Garrido, Cesar; Valle, Rodrigo</t>
  </si>
  <si>
    <t>Computational Shape Design Optimization of Femoral Implants: Towards Efficient Forging Manufacturing</t>
  </si>
  <si>
    <t>APPLIED SCIENCES-BASEL</t>
  </si>
  <si>
    <t>Total hip replacement is one of the most successful orthopedic operations in modern times. Osteolysis of the femur bone results in implant loosening and failure due to improper loading. To reduce induced stress, enhance load transfer, and minimize stress, the use of Ti-6Al-4V alloy in bone implants was investigated. The objective of this study was to perform a three-dimensional finite element analysis (FEA) of the femoral stem to optimize its shape and analyze the developed deformations and stresses under operational loads. In addition, the challenges associated with the manufacturing optimization of the femoral stem using large strain-based finite element modeling were addressed. The numerical findings showed that the optimized femoral stem using Ti-6Al-4V alloy under the normal daily activities of a person presented a strains distribution that promote uniform load transfer from the proximal to the distal area, and provided a mass reduction of 26%. The stress distribution was found to range from 700 to 0.2 MPa in the critical neck area of the implant. The developed computational tool allows for improved customized designs that lower the risk of prosthesis loss due to stress shielding.</t>
  </si>
  <si>
    <t>Oñate Soto, Angelo/AAZ-8331-2020; García-Herrera, Claudio/ABE-8991-2020; Celentano, Diego/JQW-5027-2023; Narayan, Sunny/F-8320-2014; Tuninetti, Victor/ABC-7615-2022</t>
  </si>
  <si>
    <t>Narayan, Sunny/0000-0001-7033-6341; Onate Soto, Angelo/0000-0002-4542-3731; Valle, Rodrigo/0000-0001-5995-5926; Garcia-Herrera, Claudio/0000-0002-1283-8551; Pincheira, Gonzalo/0000-0002-5853-0448; Tuninetti, Victor/0000-0002-2808-0415</t>
  </si>
  <si>
    <t>2076-3417</t>
  </si>
  <si>
    <t>10.3390/app14188289</t>
  </si>
  <si>
    <t>WOS:001323271900001</t>
  </si>
  <si>
    <t>Gheisari, M; Ghaderzadeh, M; Li, HX; Taami, T; Fernández-Campusano, C; Sadeghsalehi, H; Abbasi, AA</t>
  </si>
  <si>
    <t>Gheisari, Mehdi; Ghaderzadeh, Mustafa; Li, Huxiong; Taami, Tania; Fernandez-Campusano, Christian; Sadeghsalehi, Hamidreza; Abbasi, Aaqif Afzaal</t>
  </si>
  <si>
    <t>Mobile Apps for COVID-19 Detection and Diagnosis for Future Pandemic Control: Multidimensional Systematic Review</t>
  </si>
  <si>
    <t>JMIR MHEALTH AND UHEALTH</t>
  </si>
  <si>
    <t>Background: In the modern world, mobile apps are essential for human advancement, and pandemic control is no exception. The use of mobile apps and technology for the detection and diagnosis of COVID-19 has been the subject of numerous investigations, although no thorough analysis of COVID-19 pandemic prevention has been conducted using mobile apps, creating a gap. Objective: With the intention of helping software companies and clinical researchers, this study provides comprehensive information regarding the different fields in which mobile apps were used to diagnose COVID-19 during the pandemic. Methods: In this systematic review, 535 studies were found after searching 5 major research databases (ScienceDirect, Scopus, PubMed, Web of Science, and IEEE). Of these, only 42 (7.9%) studies concerned with diagnosing and detecting COVID-19 were chosen after applying inclusion and exclusion criteria using the PRISMA (Preferred Reporting Items for Systematic Reviews and Meta-Analyses) protocol. Results: Mobile apps were categorized into 6 areas based on the content of these 42 studies: contact tracing, data gathering, data visualization, artificial intelligence (AI)-based diagnosis, rule- and guideline-based diagnosis, and data transformation. Patients with COVID-19 were identified via mobile apps using a variety of clinical, geographic, demographic, radiological, serological, and laboratory data. Most studies concentrated on using AI methods to identify people who might have COVID-19. Additionally, symptoms, cough sounds, and radiological images were used more frequently compared to other data types. Deep learning techniques, such as convolutional neural networks, performed comparatively better in the processing of health care data than other types of AI techniques, which improved the diagnosis of COVID-19. Conclusions: Mobile apps could soon play a significant role as a powerful tool for data collection, epidemic health data analysis, and the early identification of suspected cases. These technologies can work with the internet of things, cloud storage, 5th-generation technology, and cloud computing. Processing pipelines can be moved to mobile device processing cores using new deep learning methods, such as lightweight neural networks. In the event of future pandemics, mobile apps will play a critical role in rapid diagnosis using various image data and clinical symptoms. Consequently, the rapid diagnosis of these diseases can improve the management of their effects and obtain excellent results in treating patients.</t>
  </si>
  <si>
    <t>Gheisari, Mehdi/AAU-2922-2020; Taami, Tania/GNH-6387-2022; Ghaderzadeh, Mustafa/GON-9856-2022; Sadeghsalehi, Hamidreza/AFH-6516-2022; Fernández-Campusano, Christian/M-8749-2018</t>
  </si>
  <si>
    <t>Sadeghsalehi, Hamidreza/0000-0001-9783-7795; Fernandez-Campusano, Christian/0000-0001-7033-4178; Ghaderzadeh, Mustafa/0000-0003-4016-3843</t>
  </si>
  <si>
    <t>2291-5222</t>
  </si>
  <si>
    <t>e44406</t>
  </si>
  <si>
    <t>10.2196/44406</t>
  </si>
  <si>
    <t>WOS:001177656500001</t>
  </si>
  <si>
    <t>Venegas, CJ; Gutierrez, FA; Reeves-McLaren, N; Rivas, GA; Ruiz-León, D; Bollo, S</t>
  </si>
  <si>
    <t>Venegas, Constanza J.; Gutierrez, Fabiana A.; Reeves-McLaren, Nik; Rivas, Gustavo A.; Ruiz-Leon, Domingo; Bollo, Soledad</t>
  </si>
  <si>
    <t>In situ or Ex situ Synthesis for Electrochemical Detection of Hydrogen Peroxide-An Evaluation of Co2SnO4/RGO Nanohybrids</t>
  </si>
  <si>
    <t>MICROMACHINES</t>
  </si>
  <si>
    <t>Nowadays, there is no doubt about the high electrocatalytic efficiency that is obtained when using hybrid materials between carbonaceous nanomaterials and transition metal oxides. However, the method to prepare them may involve differences in the observed analytical responses, making it necessary to evaluate them for each new material. The goal of this work was to obtain for the first time Co2SnO4 (CSO)/RGO nanohybrids via in situ and ex situ methods and to evaluate their performance in the amperometric detection of hydrogen peroxide. The electroanalytical response was evaluated in NaOH pH 12 solution using detection potentials of -0.400 V or 0.300 V for the reduction or oxidation of H2O2. The results show that for CSO there were no differences between the nanohybrids either by oxidation or by reduction, unlike what we previously observed with cobalt titanate hybrids, in which the in situ nanohybrid clearly had the best performance. On the other hand, no influence in the study of interferents and more stable signals were obtained when the reduction mode was used. In conclusion, for detecting hydrogen peroxide, any of the nanohybrids studied, i.e., in situ or ex situ, are suitable to be used, and more efficiency is obtained using the reduction mode.</t>
  </si>
  <si>
    <t>Venegas Alburquenque, Constanza/ISV-5989-2023; Bollo, Soledad/B-5257-2011; Rivas, Gustavo/AAB-2141-2020; Ruiz, Domingo/H-3818-2011; Reeves-McLaren, Nik/H-7027-2014</t>
  </si>
  <si>
    <t>Reeves-McLaren, Nik/0000-0002-1061-1230; Venegas Alburquenque, Constanza J./0000-0002-4303-7319; Ruiz Leon, Domingo/0000-0002-0950-6919; Bollo, Soledad/0000-0003-0868-4294</t>
  </si>
  <si>
    <t>2072-666X</t>
  </si>
  <si>
    <t>10.3390/mi14051059</t>
  </si>
  <si>
    <t>WOS:000997248100001</t>
  </si>
  <si>
    <t>Kalhori, MR; Soleimani, M; Arefian, E; Alizadeh, AM; Mansouri, K; Echeverria, J</t>
  </si>
  <si>
    <t>Kalhori, Mohammad Reza; Soleimani, Masoud; Arefian, Ehsan; Alizadeh, Ali Mohammad; Mansouri, Kamran; Echeverria, Javier</t>
  </si>
  <si>
    <t>The potential role of miR-1290 in cancer progression, diagnosis, prognosis, and treatment: An oncomiR or onco-suppressor microRNA?</t>
  </si>
  <si>
    <t>JOURNAL OF CELLULAR BIOCHEMISTRY</t>
  </si>
  <si>
    <t>Cancer is one of the leading causes of death in humans because of the lack of early diagnosis, distant metastases, and the resistance to adjuvant therapies, including chemotherapy and radiotherapy. In addition to playing an essential role in tumor progression and development, microRNAs (miRNAs) can be used as a robust biomarker in the early detection of cancer. MiR-1290 was discovered for the first time in human embryonic stem cells, and under typical physiological situations, plays an essential role in neuronal differentiation and neural stem cell proliferation. Its coding sequence is located at the 1p36.13 regions in the first intron of the aldehyde dehydrogenase 4 gene member A1. miR-1290 is out of control in many cancers such as breast cancer, colorectal cancer, esophageal squamous cell carcinoma, gastric cancer, lung cancer, pancreatic cancer, and plays a vital role in their development. Therefore, it is suggested that miR-1290 can be considered as a potential diagnostic and therapeutic target in many cancers. In addition to the importance of miR-1290 in the noninvasive diagnosis of various cancers, this systematic review study discussed the role of miR-1290 in altering the expression of different genes involved in cancer development and chemo-radiation resistance. Moreover, it considered the regulatory effect of natural products on miR-1290 expression and the interaction of lncRNAs by miR-1290.</t>
  </si>
  <si>
    <t>Kalhori, Mohammad/O-3345-2019; Arfiane, Ehsan/N-3912-2017; Alizadeh, Ali/AAM-4185-2021; Mansouri, Kamran/R-8866-2017; Echeverría, Javier/AAK-3323-2020</t>
  </si>
  <si>
    <t>Arefian, Ehsan/0000-0002-0758-4710; Soleimani, Masoud/0000-0003-1972-7771; Echeverria, Javier/0000-0002-1688-968X; kalhori, Mohammad Reza/0000-0002-3652-0927</t>
  </si>
  <si>
    <t>0730-2312</t>
  </si>
  <si>
    <t>1097-4644</t>
  </si>
  <si>
    <t>10.1002/jcb.30191</t>
  </si>
  <si>
    <t>WOS:000729481900001</t>
  </si>
  <si>
    <t>Alfonso-Cardero, A; Pagés-Díaz, J; Kalogirou, E; Psomopoulos, CS; Lorenzo-Llanes, J</t>
  </si>
  <si>
    <t>Alfonso-Cardero, Arael; Pages-Diaz, Jhosane; Kalogirou, Efstratios; Psomopoulos, Constantinos S.; Lorenzo-Llanes, Junior</t>
  </si>
  <si>
    <t>To dream or not to dream in Havana: multi-criteria decision-making for material and energy recovery from municipal solid wastes</t>
  </si>
  <si>
    <t>Currently, solid waste management strategies in Havana are outdated. This paper aimed to select the most suitable alternative for integrating material recovery facilities (MRF) with waste-to-energy technologies in the city of Havana, Cuba. Seven scenarios were considered: combustion, gasification, and hydrothermal carbonization (HTC) with and without carbon capture, and anaerobic digestion (AD). The selection was based on environmental, techno-economic, and social parameters using an analytic hierarchy process (AHP) as a multi-criteria decision-making tool (MCDM). The MCDM-AHP accounted for qualitative criteria (based on experts' judgments) and quantitative (based on Aspen Plus simulation models). From the MRF, 63% of the input recyclable materials were recovered, representing an energy saving of 256 kW-h/t(MSW). The AHP results showed that environmental criteria had the highest priority, resulting in similar to 63% and similar to 73% higher than social and techno-economic criteria, respectively. Likewise, from the techno-economic, environmental, and social sub-criteria analysis, investment risk, pollution, and work safety had the major concern compared with the other sub-criteria levels. Overall, MRF+AD was the most suitable scenario (21% preference) for treating Havana's municipal solid waste (MSW), followed by combustion and gasification with carbon capture, respectively. This study confirms that AD is a preference option for emerging economies like Cuba, mainly due to low environmental pollution, high social acceptance, and financial stability in the long term.</t>
  </si>
  <si>
    <t>Pagés-Díaz, Jhosané/AAD-5648-2020; Llanes, Lorenzo/ABA-7389-2020; Psomopoulos, Constantinos/E-7277-2010</t>
  </si>
  <si>
    <t>Lorenzo Llanes, Junior/0000-0001-5177-2009; Pages Diaz, Jhosane/0000-0002-2956-5705</t>
  </si>
  <si>
    <t>10.1007/s11356-021-17360-2</t>
  </si>
  <si>
    <t>WOS:000717921800008</t>
  </si>
  <si>
    <t>Aigner-Horev, E; Conlon, D; Hàn, H; Person, Y; Schacht, M</t>
  </si>
  <si>
    <t>Aigner-Horev, Elad; Conlon, David; Han, Hiep; Person, Yury; Schacht, Mathias</t>
  </si>
  <si>
    <t>Quasirandomness in hypergraphs</t>
  </si>
  <si>
    <t>ELECTRONIC JOURNAL OF COMBINATORICS</t>
  </si>
  <si>
    <t>An n-vertex graph G of edge density p is considered to be quasirandom if it shares several important properties with the random graph G(n, p). A well-known theorem of Chung, Graham and Wilson states that many such 'typical' properties are asymptotically equivalent and, thus, a graph G possessing one such property automatically satisfies the others. In recent years, work in this area has focused on uncovering more quasirandom graph properties and on extending the known results to other discrete structures. In the context of hypergraphs, however, one may consider several different notions of quasirandomness. A complete description of these notions has been provided recently by Towsner, who proved several central equivalences using an analytic framework. We give short and purely combinatorial proofs of the main equivalences in Towsner's result.</t>
  </si>
  <si>
    <t>Han, Hiep/IVV-0527-2023</t>
  </si>
  <si>
    <t>1077-8926</t>
  </si>
  <si>
    <t>AUG 24</t>
  </si>
  <si>
    <t>P3.34</t>
  </si>
  <si>
    <t>WOS:000442822900008</t>
  </si>
  <si>
    <t>Gomez, CR; Acuna-Castillo, C; Perez, C; Leiva-Salcedo, E; Riquelme, DM; Ordenes, G; Oshima, K; Aravena, M; Perez, VI; Nishimura, S; Sabaj, V; Walter, R; Sierra, F</t>
  </si>
  <si>
    <t>Gomez, Christian R.; Acuna-Castillo, Claudio; Perez, Claudio; Leiva-Salcedo, Elias; Riquelme, Denise M.; Ordenes, Gamaliel; Oshima, Kiyoko; Aravena, Mauricio; Perez, Viviana I.; Nishimura, Sumiyo; Sabaj, Valeria; Walter, Robin; Sierra, Felipe</t>
  </si>
  <si>
    <t>Diminished Acute Phase Response and Increased Hepatic Inflammation of Aged Rats in Response to Intraperitoneal Injection of Lipopolysaccharide</t>
  </si>
  <si>
    <t>JOURNALS OF GERONTOLOGY SERIES A-BIOLOGICAL SCIENCES AND MEDICAL SCIENCES</t>
  </si>
  <si>
    <t>Aging is associated with a deterioration of the acute phase response to inflammatory challenges. However, the nature of these defects remains poorly defined. We analyzed the hepatic inflammatory response after intraperitoneal administration of lipopolysaccharide (LPS) given to Fisher 344 rats aged 6, 15, and 22-23 months. Induction of the acute phase proteins (APPs), haptoglobin, a-I-acid glycoprotein, and T-kininogen was reduced and/or retarded with aging. Initial induction of interleukin-6 in aged rats was normal, but the later response was increased relative to younger counterparts. An exacerbated hepatic injury was observed in aged rats receiving LPS, as evidenced by the presence of multiple microabscesses in portal tracts, confluent necrosis, higher nentrophil accumulation, and elevated serum levels of alanine aminotransferase, relative to younger animals. Our results suggest that aged rats displayed a reduced expression of APPS and increased hepatic injury in response to the inflammatory insult.</t>
  </si>
  <si>
    <t>Oshima, Kiyoko/CAH-7294-2022; Acuña-Castillo, Claudio/AAI-7090-2021</t>
  </si>
  <si>
    <t>Acuna-Castillo, Claudio/0000-0003-3607-6077</t>
  </si>
  <si>
    <t>1079-5006</t>
  </si>
  <si>
    <t>1758-535X</t>
  </si>
  <si>
    <t>10.1093/gerona/63.12.1299</t>
  </si>
  <si>
    <t>WOS:000262535400004</t>
  </si>
  <si>
    <t>Knobel, M; Nunes, WC; Socolovsky, LM; De Biasi, E; Vargas, JM; Denardin, JC</t>
  </si>
  <si>
    <t>Knobel, M.; Nunes, W. C.; Socolovsky, L. M.; De Biasi, E.; Vargas, J. M.; Denardin, J. C.</t>
  </si>
  <si>
    <t>Superparamagnetism and other magnetic features in granular materials: A review on ideal and real systems</t>
  </si>
  <si>
    <t>JOURNAL OF NANOSCIENCE AND NANOTECHNOLOGY</t>
  </si>
  <si>
    <t>An overview on magnetic of nanostructured magnetic materials is presented, with particular emphasis on the basic features displayed by granular nanomagnetic solids. Besides a review of the basic concepts and experimental techniques, the role of structural disorder (mainly the distribution of grain sizes), interparticle magnetic interactions and surface effects are also discussed with some detail. Recent results, models and trends on the area are also discussed.</t>
  </si>
  <si>
    <t>Denardin, Juliano/S-6407-2019; Castro Nunes, Wallace/G-3184-2012; Knobel, Marcelo/A-2843-2009</t>
  </si>
  <si>
    <t>Denardin, Juliano/0000-0002-1373-6207; Knobel, Marcelo/0000-0002-6540-9267; Socolovsky, Leandro/0000-0001-9256-7183; Castro Nunes, Wallace/0000-0002-9908-2098</t>
  </si>
  <si>
    <t>1533-4880</t>
  </si>
  <si>
    <t>1533-4899</t>
  </si>
  <si>
    <t>10.1166/jnn.2008.017</t>
  </si>
  <si>
    <t>WOS:000257271600009</t>
  </si>
  <si>
    <t>Cofre-Bolados, C; Ferrari, G; Valdivia-Moral, P; Vidal-Díaz, F; Ramírez-Vélez, R; Izquierdo-Redin, M</t>
  </si>
  <si>
    <t>Cofre-Bolados, Cristian; Ferrari, Gerson; Valdivia-Moral, Pedro; Vidal-Diaz, Felix; Ramirez-Velez, Robinson; Izquierdo-Redin, Mikel</t>
  </si>
  <si>
    <t>Sub Maximal Ergospirometry Parameters in Untrained Non-Frail Octogenarian Subjects</t>
  </si>
  <si>
    <t>MEDICINA-LITHUANIA</t>
  </si>
  <si>
    <t>Background and Objectives: The prevalence of chronic diseases increases with age, and in octogenarian elderly, a cardiorespiratory test with gas analysis is more effective in determining the risk of mortality than applying the conventional risk factors. Materials and Methods: 25 untrained non-frail octogenarian subjects (four men) performed a submaximal test with gas analysis, which was stopped after the second ventilatory threshold (VT2) was reached. The variables analyzed were oxygen consumption at the first threshold (VO2 VT1); ventilatory class (VE/VCO2); oxygen uptake efficiency slope (OUES); cardiorespiratory optimal point (COP); oxygen pulse difference between VT2 and VT1 (diff. VO2/HR VT2-VT1). Results: the variables were classified categorically based on cut-off points present in the literature, where the variable with the highest percentage of altered cases was dif. VO2/HR VT2-VT1 at 48%; followed by VO2 VT1 at 40%, OUES at 36%, COP at 32%, and VE/VCO2 at 24%. Chi-square analysis between the measured parameters defined that normal and altered variables were related to each other, except for the variable VE/VCO2 and OUES. Conclusions: it was found that the main altered variable was the oxygen pulse and the least altered variable was VCO2/VCO2; there was only a statistically significant difference in a pair of OUES vs. VE/VCO2 variables.</t>
  </si>
  <si>
    <t>Ferrari, Gerson/ABG-6635-2021; Valdivia-Moral, Pedro/J-7490-2013; Ferrari, Gerson/P-1152-2014; Ramirez-Velez, Robinson/D-5311-2016; Izquierdo, Mikel/A-4894-2010</t>
  </si>
  <si>
    <t>Valdivia-Moral, Pedro/0000-0002-1905-3247; Ferrari, Gerson/0000-0003-3177-6576; Ramirez-Velez, Robinson/0000-0003-3075-6960; Izquierdo, Mikel/0000-0002-1506-4272</t>
  </si>
  <si>
    <t>1010-660X</t>
  </si>
  <si>
    <t>1648-9144</t>
  </si>
  <si>
    <t>10.3390/medicina58030378</t>
  </si>
  <si>
    <t>WOS:000778263400001</t>
  </si>
  <si>
    <t>Benayad, A; El Otmani, R; El Hakimi, A; Boutaous, M; Touache, A; Musa, KR; Derdouri, S; Mahfoudi, N; Siginer, D</t>
  </si>
  <si>
    <t>Benayad, Anass; El Otmani, Rabie; El Hakimi, Abdelhadi; Boutaous, M'hamed; Touache, Abdelhamid; Musa, Kamal R.; Derdouri, Salim; Mahfoudi, Nadjiba; Siginer, Dennis</t>
  </si>
  <si>
    <t>Experimental investigation and numerical simulation of the microinjection molding process through an expanding flow configuration</t>
  </si>
  <si>
    <t>POLYMERS FOR ADVANCED TECHNOLOGIES</t>
  </si>
  <si>
    <t>The dependence of the induced morphological layer variations on the processing conditions and parameters during injection molding of polymers is analyzed through a robust numerical framework of the complete microinjection molding cycle. Predicted temperature, heat transfer and viscous dissipation, spherulite diameters, and shear rates provide sufficient clarifications to develop a deeper understanding of the complex evolution of the induced thicknesses of layers. The evolution of the structure of polyoxymethylene (POM) under strong strain rates and high thermal gradients is investigated while flowing along an expanding flow configuration composed of three steps of increasing thickness. High and low mold temperatures and injection velocity levels are tested according to the design of the experiment method (DOE). Morphological development in each zone was examined to provide the induced crystalline layer thickness in the longitudinal as well as the transverse directions using polarized light microscopy (PLM). The thickness of the layers strongly depends on the local thickness of the stepped-part and on the abrupt dimensional changes. The variation of bulk tensile properties obtained by dynamic mechanical analysis (DMA) is related to the thermomechanical history experienced by the melt.</t>
  </si>
  <si>
    <t>BEN AYAD, Anass/JAX-3817-2023; EL OTMANI, RABIE/GPP-2959-2022</t>
  </si>
  <si>
    <t>TOUACHE, Abdelhamid/0000-0001-7553-5817; EL OTMANI, RABIE/0000-0002-8181-6233; Boutaous, M'hamed/0000-0002-3633-0736; BEN AYAD, Anass/0000-0001-7808-3289</t>
  </si>
  <si>
    <t>1042-7147</t>
  </si>
  <si>
    <t>1099-1581</t>
  </si>
  <si>
    <t>10.1002/pat.5206</t>
  </si>
  <si>
    <t>JAN 2021</t>
  </si>
  <si>
    <t>WOS:000604864600001</t>
  </si>
  <si>
    <t>Luengo, MD; Olivares, SI</t>
  </si>
  <si>
    <t>Olivares, SI</t>
  </si>
  <si>
    <t>Luengo, Mitzi Duboy; Olivares, Sandra Iturrieta</t>
  </si>
  <si>
    <t>The right to voice and awareness of the place of enunciation: opportunities and proposals from systematization</t>
  </si>
  <si>
    <t>VIVIR EN TIEMPOS CONVULSIONADOS: Reflexiones Sociocriticas para Propuestas de Intervencion Social</t>
  </si>
  <si>
    <t>Even though the production of knowledge and its places of enunciation are widely debated topics in social sciences, it is necessary to continue deepening on the political stakes that underlie epistemological positions and the obstacles with which we generate knowledge, giving rise to hegemonic and subalternized sciences, and in the case of systematizations, to methodological overdeterminations that silence the right to voice of those who participate in this process. Outlining the same exercise we proposed, we put in common our places of enunciation, and we reflect on the purposes and meanings of systematization, in order to finally, to hold the construction of otherness as a fundamental element, to situate the political dimension of this way of generating knowledge, so we invite you to incorporate the exercise of Dussel's analytic, in order to transcend the idea of totality in systematization.</t>
  </si>
  <si>
    <t>Olivares, Sandra/AAS-5054-2021</t>
  </si>
  <si>
    <t>978-956-6095-21-7</t>
  </si>
  <si>
    <t>10.26448/ae9789566095217.7</t>
  </si>
  <si>
    <t>WOS:000762613700004</t>
  </si>
  <si>
    <t>Valdes-Pineda, R; Garcia-Chevesich, PA; Alaniz, AJ; Venegas-Quinones, HL; Valdes, JB; Pizarro, R</t>
  </si>
  <si>
    <t>Valdes-Pineda, Rodrigo; Garcia-Chevesich, Pablo A.; Alaniz, Alberto J.; Venegas-Quinones, Hector L.; Valdes, Juan B.; Pizarro, Roberto</t>
  </si>
  <si>
    <t>The Impact of a Lack of Government Strategies for Sustainable Water Management and Land Use Planning on the Hydrology of Water Bodies: Lessons Learned from the Disappearance of the Aculeo Lagoon in Central Chile</t>
  </si>
  <si>
    <t>SUSTAINABILITY</t>
  </si>
  <si>
    <t>Several studies have focused on why the Aculeo Lagoon in central Chile disappeared, with a recent one concluding that a lack of precipitation was the main cause, bringing tremendous political consequences as it supported the argument that the government is not responsible for this environmental, economic, and social disaster. In this study, we evaluated in detail the socio-economic history of the watershed, the past climate and its effects on the lagoon's water levels (including precipitation recycling effects), anthropogenic modifications to the lagoon's water balance, the evolution of water rights and demands, and inaccurate estimates of sustainable groundwater extraction volumes from regional aquifers. This analysis has revealed novel and undisputable evidence that this natural body of water disappeared primarily because of anthropogenic factors (mostly river deviations and aquifer pumping) that, combined with the effects of less than a decade with below-normal precipitation, had a severe impact on this natural lagoon-aquifer system.</t>
  </si>
  <si>
    <t>Alaniz, Alberto/J-3104-2019; Venegas-Quinones, Hector Leopoldo/LTE-3833-2024</t>
  </si>
  <si>
    <t>Pizarro, Roberto/0000-0002-6601-3811; Valdes-Pineda, Rodrigo/0000-0002-7529-0562; Alaniz, Alberto J./0000-0003-4878-8848</t>
  </si>
  <si>
    <t>2071-1050</t>
  </si>
  <si>
    <t>10.3390/su14010413</t>
  </si>
  <si>
    <t>WOS:000751048700001</t>
  </si>
  <si>
    <t>Yu, S; Albarrán-Arriagada, F; Retamal, JC; Wang, YT; Liu, W; Ke, ZJ; Meng, Y; Li, ZP; Tang, JS; Solano, E; Lamata, L; Li, CF; Guo, GC</t>
  </si>
  <si>
    <t>Yu, Shang; Albarran-Arriagada, Francisco; Carlos Retamal, Juan; Wang, Yi-Tao; Liu, Wei; Ke, Zhi-Jin; Meng, Yu; Li, Zhi-Peng; Tang, Jian-Shun; Solano, Enrique; Lamata, Lucas; Li, Chuan-Feng; Guo, Guang-Can</t>
  </si>
  <si>
    <t>Reconstruction of a Photonic Qubit State with Reinforcement Learning</t>
  </si>
  <si>
    <t>ADVANCED QUANTUM TECHNOLOGIES</t>
  </si>
  <si>
    <t>An experiment is performed to reconstruct an unknown photonic quantum state with a limited amount of copies. A semiquantum reinforcement learning approach is employed to adapt one qubit state, an agent, to an unknown quantum state, an environment, by successive single-shot measurements and feedback, in order to achieve maximum overlap. The experimental learning device herein, composed of a quantum photonics setup, can adjust the corresponding parameters to rotate the agent system based on the measurement outcomes 0 or 1 in the environment (i.e., reward/punishment signals). The results show that, when assisted by such a quantum machine learning technique, fidelities of the deterministic single-photon agent states can achieve over 88% under a proper reward/punishment ratio within 50 iterations. This protocol offers a tool for reconstructing an unknown quantum state when only limited copies are provided, and can also be extended to higher dimensions, multipartite, and mixed quantum state scenarios.</t>
  </si>
  <si>
    <t>Retamal, Juan/G-6425-2010; Li, Chenguang/C-7501-2009; ZHU, Kejia/JMQ-1222-2023; Li, Zhipeng/JJG-1854-2023; Solano, Enrique/C-2895-2017; Wang, Yitao/LUZ-1345-2024; Lamata, Lucas/B-2439-2009; Lamata, Lucas/CAG-6488-2022</t>
  </si>
  <si>
    <t>Yu, Shang/0000-0002-6463-952X; Albarran-Arriagada, Francisco/0000-0001-8899-3673; Wang, Yi-Tao/0000-0003-3028-0923; Lamata, Lucas/0000-0002-9504-8685</t>
  </si>
  <si>
    <t>2511-9044</t>
  </si>
  <si>
    <t>7-8</t>
  </si>
  <si>
    <t>UNSP 1800074</t>
  </si>
  <si>
    <t>10.1002/qute.201800074</t>
  </si>
  <si>
    <t>WOS:000548079200002</t>
  </si>
  <si>
    <t>Pocivavsek, L; Ye, SH; Pugar, J; Tzeng, E; Cerda, E; Velankar, S; Wagner, WR</t>
  </si>
  <si>
    <t>Pocivavsek, Luka; Ye, Sang-Ho; Pugar, Joseph; Tzeng, Edith; Cerda, Enrique; Velankar, Sachin; Wagner, William R.</t>
  </si>
  <si>
    <t>Active wrinkles to drive self-cleaning: A strategy for anti-thrombotic surfaces for vascular grafts</t>
  </si>
  <si>
    <t>The inner surfaces of arteries and veins are naturally anti-thrombogenic, whereas synthetic materials placed in blood contact commonly experience thrombotic deposition that can lead to device failure or clinical complications. Presented here is a bioinspired strategy for self-cleaning anti-thrombotic surfaces using actuating surface topography. As a first test, wrinkled polydimethylsiloxane planar surfaces are constructed that can repeatedly transition between smooth and wrinkled states. When placed in contact with blood, these surfaces display markedly less platelet deposition than control samples. Second, for the specific application of prosthetic vascular grafts, the potential of using pulse pressure, i.e. the continual variation of blood pressure between systole and diastole, to drive topographic actuation was investigated. Soft cylindrical tubes with a luminal surface that transitioned between smooth and wrinkled states were constructed. Upon exposure to blood under continual pressure pulsation, these cylindrical tubes also showed reduced platelet deposition versus control samples under the same fluctuating pressure conditions. In both planar and cylindrical cases, significant reductions in thrombotic deposition were observed, even when the wrinkles had wavelengths of several tens of mu m, far larger than individual platelets. We speculate that the observed thrombo-resistance behavior is attributable to a biofilm delamination process in which the bending energy within the biofilm overcomes interfacial adhesion. This novel strategy to reduce thrombotic deposition may be applicable to several types of medical devices placed into the circulatory system, particularly vascular grafts.</t>
  </si>
  <si>
    <t>Ye, Sang-Ho/H-5294-2011</t>
  </si>
  <si>
    <t>Ye, Sang-Ho/0000-0002-4760-9812; Wagner, William R./0000-0003-0082-8089; Velankar, Sachin/0000-0001-7541-1355</t>
  </si>
  <si>
    <t>10.1016/j.biomaterials.2018.11.005</t>
  </si>
  <si>
    <t>WOS:000456902000018</t>
  </si>
  <si>
    <t>Moncada-Basualto, M; Lapier, M; Maya, JD; Matsuhiro, B; Olea-Azar, C; Delogu, GL; Uriarte, E; Santana, L; Matos, MJ</t>
  </si>
  <si>
    <t>Moncada-Basualto, Mauricio; Lapier, Michel; Diego Maya, Juan; Matsuhiro, Betty; Olea-Azar, Claudio; Delogu, Giovanna L.; Uriarte, Eugenio; Santana, Lourdes; Joao Matos, Maria</t>
  </si>
  <si>
    <t>Evaluation of Trypanocidal and Antioxidant Activities of a Selected Series of 3-amidocoumarins</t>
  </si>
  <si>
    <t>MEDICINAL CHEMISTRY</t>
  </si>
  <si>
    <t>Background: Neglected diseases are becoming more prevalent due to globalization. This has inspired active research in the development of new drugs for the treatment of parasitic diseases such as Chagas disease. Objectives: With the aim of finding new trypanocidal agents, we report the in vitro evaluation of a new series of 3-amidocoumarins with or without hydroxyl substituents at position 4 of the coumarin ring. Methods: Electrochemical and biological assays were performed in order to assess the antioxidant and trypanocidal potential of these compounds and to better understand the mechanisms involved in their activity. Results: Most of the studied compounds showed high trypanocidal activity against both epimastigote and trypomastigote forms, with IC50 values in the low micromolar range. Some of them have greater activity and selectivity than the reference compound, nifurtimox. Conclusion: Compound 2 is the most active of this series, being also non-cytotoxic against murine RAW 264.7 macrophages. Electrochemical and radical scavenging experiments were carried out, providing new information about the profile of the best derivatives, and the potential therapeutic application of the new 3-amidocoumarins.</t>
  </si>
  <si>
    <t>Maya, Juan/H-9561-2013; moncada, mauricio/HHN-6394-2022; Santana, Lourdes/L-2981-2014; Matos, Maria Joao/L-2379-2014; OLEA AZAR, CLAUDIO/I-1605-2013; Uriarte, Eugenio/F-5691-2012</t>
  </si>
  <si>
    <t>Santana, Lourdes/0000-0001-6056-8253; moncada, mauricio/0000-0003-1733-9126; Matos, Maria Joao/0000-0002-3470-8299; Lapier Quezada, Michel Andres/0000-0002-1327-1964; OLEA AZAR, CLAUDIO/0000-0001-5805-0746; Delogu, Giovanna Lucia/0000-0003-0307-1544; Uriarte, Eugenio/0000-0001-6218-2899</t>
  </si>
  <si>
    <t>1573-4064</t>
  </si>
  <si>
    <t>1875-6638</t>
  </si>
  <si>
    <t>10.2174/1573406414666180419113437</t>
  </si>
  <si>
    <t>WOS:000438407800004</t>
  </si>
  <si>
    <t>Lagubeau, G; Cobelli, P; Bobinski, T; Maurel, A; Pagneux, V; Petitjeans, P</t>
  </si>
  <si>
    <t>Lagubeau, Guillaume; Cobelli, Pablo; Bobinski, Tomasz; Maurel, Agnes; Pagneux, Vincent; Petitjeans, Philippe</t>
  </si>
  <si>
    <t>Empirical mode decomposition profilometry: small-scale capabilities and comparison to Fourier transform profilometry</t>
  </si>
  <si>
    <t>APPLIED OPTICS</t>
  </si>
  <si>
    <t>We present the empirical mode decomposition profilometry (EMDP) for the analysis of fringe projection profilometry (FPP) images. It is based on an iterative filter, using empirical mode decomposition, which is free of spatial filtering and adapted for surfaces characterized by a broadband spectrum of deformation. Its performances are compared to Fourier transform profilometry, the benchmark of FPP. We show both numerically and experimentally that using EMDP improves strongly the profilometry small-scale capabilities. Moreover, the height reconstruction distortion is much lower: the reconstructed height field is now both spectrally and statistically accurate. EMDP is thus particularly suited to quantitative experiments. (C) 2015 Optical Society of America</t>
  </si>
  <si>
    <t>Cobelli, Pablo/JFA-1306-2023; Bobinski, Tomasz/T-8115-2018</t>
  </si>
  <si>
    <t>Bobinski, Tomasz/0000-0003-0407-259X</t>
  </si>
  <si>
    <t>1559-128X</t>
  </si>
  <si>
    <t>2155-3165</t>
  </si>
  <si>
    <t>NOV 10</t>
  </si>
  <si>
    <t>10.1364/AO.54.009409</t>
  </si>
  <si>
    <t>WOS:000364456300006</t>
  </si>
  <si>
    <t>Zoccali, M; Quezada, C; Ramos, RC; Valenti, E; Valenzuela-Navarro, A; Carvajal, JO; Arriagada, AR; Minniti, JH; Gran, F; De Leo, M</t>
  </si>
  <si>
    <t>Zoccali, M.; Quezada, C.; Contreras Ramos, R.; Valenti, E.; Valenzuela-Navarro, A.; Carvajal, J. Olivares; Rojas Arriagada, A.; Minniti, J. H.; Gran, F.; De Leo, M.</t>
  </si>
  <si>
    <t>VVV catalog of ab-type RR Lyrae in the inner Galactic bulge</t>
  </si>
  <si>
    <t>Context. Observational evidence has accumulated in recent years, showing that the Galactic bulge includes two populations, a metal-poor one and a metal-rich one, which in addition to having different metallicities show different alpha over iron abundances, spatial distribution, and kinematics. While the metal-rich, barred component has been fairly well characterized, the metal-poor, spheroidal component has been more elusive and harder to describe. RR Lyrae variables are clean tracers of the old bulge component, and they are, on average, more metal-poor than red clump stars. Aims. In the present paper, we provide a new catalog of 16488 ab-type RR Lyrae variables in the bulge region within vertical bar l vertical bar less than or similar to 10 degrees and vertical bar b vertical bar less than or similar to 2.8 degrees, extracted from multi-epoch Point Spread Function photometry performed on VISTA Variable in the Via Lactea survey data. We used the catalog to constrain the shape of the old, metal-poor, bulge stellar population. Methods. The identification of ab-type RR Lyrae among a large sample of candidate variables of different types has been performed via a combination of a Random Forest classifier and visual inspection. We optimized this process in such a way to extract a clean catalog with high purity, although for this reason its completeness, close to the midplane, is lower compared to a few other near-infrared catalogs covering the same region of the sky. Results. We used the present catalog to derive the shape of their distribution around the Galactic center, resulting in an elongated spheroid with projected axis ratio of b/a similar to 0.7 and an inclination angle of phi similar to 20 degrees. We discuss how observational biases, such as errors on the distances and a nonuniform sampling in longitude, affect both the present measurements and previous ones, especially those based on red clump stars. Because the latter have not been taken into account before, we refrain from a quantitative comparison between these shape parameters and those derived for the main Galactic bar. Nonetheless, qualitatively, taking into account observational biases would lower the estimated ellipticity of the bar derived from red clump stars, and hence reduce the difference with the present results. Conclusions. We publish a high-purity RRab sample for future studies of the oldest Galactic bulge population, close to the midplane. We explore different choices for the period-luminosity-metallicity relation, highlighting how some of them introduce spurious trends of distance with either the period or the metallicity, or both. We provide evidence that they trace a structure that is less elongated than the main bar, though we also highlight some biases of these kind of studies not discussed before.</t>
  </si>
  <si>
    <t>Gran, Felipe/LLM-7798-2024; Ramos, Roberto/JFS-2543-2023</t>
  </si>
  <si>
    <t>Zoccali, Manuela/0000-0002-5829-2267; Valenzuela Navarro, Alvaro/0000-0002-9523-1228; Gran, Felipe/0000-0002-9252-6899; Olivares Carvajal, Julio/0009-0000-1857-4393; Rojas-Arriagada, Alvaro/0000-0003-0208-8854; Valenti, Elena/0000-0002-6092-7145</t>
  </si>
  <si>
    <t>SEP 17</t>
  </si>
  <si>
    <t>A240</t>
  </si>
  <si>
    <t>10.1051/0004-6361/202450126</t>
  </si>
  <si>
    <t>WOS:001366206400010</t>
  </si>
  <si>
    <t>Francino, L; Villarroel, B; Valdés-Badilla, P; Ramirez-Campillo, R; Báez-San Martín, E; Ojeda-Aravena, A; Aedo-Muñoz, E; Pardo-Tamayo, C; Herrera-Valenzuela, T</t>
  </si>
  <si>
    <t>Francino, Lucciano; Villarroel, Bayron; Valdes-Badilla, Pablo; Ramirez-Campillo, Rodrigo; Baez-San Martin, Eduardo; Ojeda-Aravena, Alex; Aedo-Munoz, Esteban; Pardo-Tamayo, Carolina; Herrera-Valenzuela, Tomas</t>
  </si>
  <si>
    <t>Effect of a Six Week In-Season Training Program on Wrestling-Specific Competitive Performance</t>
  </si>
  <si>
    <t>The effect of multi-component training on specific performance is under-researched in wrestlers. The aim of this study was to determine the effect of six weeks of multi-component training on The Special Wrestling Fitness Test (SWFT) performances of wrestlers who were preparing for an international championship, and to, additionally, determine their inter-individual adaptive variability. The wrestlers (n = 13; 7 females; all international level) underwent technical-tactical and physical fitness training for the six weeks before the championship, 12 sessions per week (i.e., 36 h per week). Before and after the intervention the athletes were assessed with the SWFT, a wrestling-specific competitive performance test that includes measurements for throws, heart rate response to the SWFT, and the SWFT index. Significant pre-post intervention improvements were noted for throws (pre = 23.5 +/- 2.9; post = 24.9 +/- 3.6; p = 0.022) and SWFTindex (pre = 14.9 +/- 2.2; post = 14.1 +/- 2.2; p = 0.013. In conclusion, six weeks of multi-component training improved wrestling-specific competitive performances in highly-trained wrestlers, although with a meaningful inter-subject variability.</t>
  </si>
  <si>
    <t>Herrera-Valenzuela, Tomas/L-1819-2019; Ramirez-Campillo, Rodrigo/M-1258-2016; Ojeda Aravena, Alex/JRF-5369-2023; Báez, Eduardo/GWU-7673-2022; Aedo-Muñoz, Esteban/R-5623-2019</t>
  </si>
  <si>
    <t>Herrera-Valenzuela, Tomas/0000-0002-5219-5896; Ramirez-Campillo, Rodrigo/0000-0003-2035-3279; Aedo-Munoz, Esteban/0000-0003-1544-2824; Baez San Martin, Eduardo/0000-0002-3881-1015; Francino-Fernandez, Lucciano/0000-0002-3030-5492; Ojeda-Aravena, Alex/0000-0002-2406-9622</t>
  </si>
  <si>
    <t>10.3390/ijerph19159325</t>
  </si>
  <si>
    <t>WOS:000839071500001</t>
  </si>
  <si>
    <t>Marconcin, P; Peralta, M; Gouveia, ÉR; Ferrari, G; Carraca, E; Ihle, A; Marques, A</t>
  </si>
  <si>
    <t>Marconcin, Priscila; Peralta, Miguel; Gouveia, Elvio R.; Ferrari, Gerson; Carraca, Eliana; Ihle, Andreas; Marques, Adilson</t>
  </si>
  <si>
    <t>Effects of Exercise during Pregnancy on Postpartum Depression: A Systematic Review of Meta-Analyses</t>
  </si>
  <si>
    <t>BIOLOGY-BASEL</t>
  </si>
  <si>
    <t>Simple Summary Postpartum depression (PPD) is a public health problem. Exercise is a nonpharmacologic alternative to deal with PPD. This study conducted a systematic review of previous meta-analyses and an exploratory pooled analysis regarding the effects of exercise on depressive symptoms among women during the postpartum period. We searched for previous meta-analyses of experimental studies. Of the 52 records selected, we included five in the analyses, because they were focused on PPD. From the results, it was clear that exercise had a significant but small effect on depressive symptoms. This study shows that exercise is effective in reducing PPD symptoms. Postpartum depression (PPD) is a public health issue. Exercise is a nonpharmacologic alternative to deal with PPD. This study conducted a systematic review of previous meta-analyses and an exploratory pooled analysis regarding the effects of exercise on depressive symptoms among women during the postpartum period. We searched for previous meta-analyses of randomised controlled trials on PubMed, Web of Science and Scopus, date of inception to 31 May 2021. The methodological quality was assessed using the Assessment of Multiple Systematic Reviews 2 (AMSTAR2) instrument. We pooled the standardised mean differences from the selected studies. Of the 52 records screened, five were included. The results revealed a significant moderate effect of exercise on depressive symptoms among women during the postpartum period (SMD = -0.53; 95% CI: -0.80 to -0.27, p &lt; 0.001). The pooled effect of the five meta-analyses established that exercise had a significant, small effect on depressive symptoms (SMD = -0.41; 95% CI: -0.50 to -0.32, p &lt; 0.001). Our study indicates that exercise is effective in reducing PPD symptoms. Compared with traditional control approaches (psychosocial and psychological interventions), exercise seems have a superior effect on PPD symptoms. The implications of the present synthesis of past meta-analytical findings to guide health policies and research are discussed.</t>
  </si>
  <si>
    <t>Marconcin, Priscila/GRO-2708-2022; Ferrari, Gerson/ABG-6635-2021; Peralta, Miguel/H-1666-2017; Ferrari, Gerson/P-1152-2014; Marques, Adilson/K-4529-2014; Gouveia, Elvio Rubio/F-9156-2015; Carraca, Eliana/M-8843-2013</t>
  </si>
  <si>
    <t>Peralta, Miguel/0000-0001-6072-6012; Ferrari, Gerson/0000-0003-3177-6576; Marques, Adilson/0000-0001-9850-7771; Gouveia, Elvio Rubio/0000-0003-0927-692X; Marconcin, Priscila/0000-0002-1295-0826; Ihle, Andreas/0000-0001-9845-5190; Carraca, Eliana/0000-0002-5789-811X</t>
  </si>
  <si>
    <t>2079-7737</t>
  </si>
  <si>
    <t>10.3390/biology10121331</t>
  </si>
  <si>
    <t>WOS:000736251400001</t>
  </si>
  <si>
    <t>Salomón, R; Reyes-López, FE; Tort, L; Firmino, JP; Sarasquete, C; Ortiz-Delgado, JB; Quintela, JC; Pinilla-Rosas, JM; Vallejos-Vidal, E; Gisbert, E</t>
  </si>
  <si>
    <t>Salomon, Ricardo; Reyes-Lopez, Felipe E.; Tort, Lluis; Firmino, Joana P.; Sarasquete, Carmen; Ortiz-Delgado, Juan B.; Quintela, Jose C.; Pinilla-Rosas, Jose M.; Vallejos-Vidal, Eva; Gisbert, Enric</t>
  </si>
  <si>
    <t>Medicinal Plant Leaf Extract From Sage and Lemon Verbena Promotes Intestinal Immunity and Barrier Function in Gilthead Seabream (Sparus aurata)</t>
  </si>
  <si>
    <t>The inclusion of a medicinal plant leaf extract (MPLE) from sage (Salvia officinalis) and lemon verbena (Lippia citriodora), rich in verbascoside and triterpenic compounds like ursolic acid, was evaluated in gilthead seabream (Sparus aurata) fed a low fishmeal-based diet (48% crude protein, 17% crude fat, 21.7 MJ kg(-1), 7% fishmeal, 15% fish oil) for 92 days. In particular, the study focused on the effect of these phytogenic compounds on the gut condition by analyzing the transcriptomic profiling (microarray analysis) and histological structure of the intestinal mucosa, as well as the histochemical properties of mucins stored in goblet cells. A total number of 506 differentially expressed genes (285 up- and 221 down-regulated) were found when comparing the transcriptomic profiling of the intestine from fish fed the control and MPLE diets. The gut transcripteractome revealed an expression profile that favored biological mechanisms associated to the 1) immune system, particularly involving T cell activation and differentiation, 2) gut integrity (i.e., adherens and tight junctions) and cellular proliferation, and 3) cellular proteolytic pathways. The histological analysis showed that the MPLE dietary supplementation promoted an increase in the number of intestinal goblet cells and modified the composition of mucins' glycoproteins stored in goblet cells, with an increase in the staining intensity of neutral mucins, as well as in mucins rich in carboxylated and weakly sulfated glycoconjugates, particularly those rich in sialic acid residues. The integration of transcriptomic and histological results showed that the evaluated MPLE from sage and lemon verbena is responsible for the maintenance of intestinal health, supporting gut homeostasis and increasing the integrity of the intestinal epithelium, which suggests that this phytogenic may be considered as a promising sustainable functional additive for aquafeeds.</t>
  </si>
  <si>
    <t>Tort, Lluis/H-5650-2011; Reyes-López, Felipe/S-1760-2018; Firmino, Joana/AAX-1575-2021; Salomón, Ricardo/ABC-8308-2021; Ortiz Delgado, Juan Bosco/E-1283-2013; Vallejos-Vidal, Eva/R-9606-2019; Gisbert, Enric/B-3654-2011</t>
  </si>
  <si>
    <t>Reyes-Lopez, Felipe E./0000-0002-5001-457X; Ortiz Delgado, Juan Bosco/0000-0002-6811-5934; Firmino, Joana/0000-0002-7694-0416; Quintela, Jose Carlos/0000-0001-8479-129X; Tort, Lluis/0000-0002-3907-722X; Vallejos-Vidal, Eva/0000-0002-3091-2700; Salomon Figueredo, Ricardo/0000-0003-1433-2789; Gisbert, Enric/0000-0002-7457-8468</t>
  </si>
  <si>
    <t>MAY 14</t>
  </si>
  <si>
    <t>10.3389/fimmu.2021.670279</t>
  </si>
  <si>
    <t>WOS:000655501200001</t>
  </si>
  <si>
    <t>Winkel, T; Núñez-Carrasco, L; Cruz, PJ; Egan, N; Sáez-Tonacca, L; Cubillos-Celis, P; Poblete-Olivera, C; Zavalla-Nanco, N; Miño-Baes, B; Viedma-Araya, MP</t>
  </si>
  <si>
    <t>Winkel, Thierry; Nunez-Carrasco, Lizbeth; Cruz, Pablo Jose; Egan, Nancy; Saez-Tonacca, Luis; Cubillos-Celis, Priscilla; Poblete-Olivera, Camila; Zavalla-Nanco, Natalia; Mino-Baes, Barbara; Viedma-Araya, Maria-Paz</t>
  </si>
  <si>
    <t>Mobilising common biocultural heritage for the socioeconomic inclusion of small farmers: panarchy of two case studies on quinoa in Chile and Bolivia</t>
  </si>
  <si>
    <t>AGRICULTURE AND HUMAN VALUES</t>
  </si>
  <si>
    <t>Valorising the biocultural heritage of common goods could enable peasant farmers to achieve socially and economically inclusive sustainability. Increasingly appreciated by consumers, peasant heritage products offer small farmers promising opportunities for economic, social and territorial development. Identifying the obstacles and levers of this complex, multi-scale and multi-stakeholder objective requires an integrative framework. We applied the panarchy conceptual framework to two cases of participatory research with small quinoa producers: a local fair in Chile and quinoa export production in Bolivia. In both cases, the commoning process was crucial both to bring stakeholders together inside their communities and to gain outside recognition for their production and thus achieve social and economic inclusion. Despite the differences in scale, the local fair and the export market shared a similar marketing strategy based on short value chains promoting quality products with high identity value. In these dynamics of biocultural heritage valorisation, the panarchical approach revealed the central place as well as the vulnerability of the community territory. As a place of both anchoring and opening, the community territory is the privileged space where autonomous and consensual control over the governance of common biocultural resources can be exercised.</t>
  </si>
  <si>
    <t>WINKEL, Thierry/E-2388-2011; Cruz, Pablo/K-8743-2017</t>
  </si>
  <si>
    <t>Saez Tonacca, Luis David/0000-0002-6619-494X; WINKEL, Thierry/0000-0003-3701-6973</t>
  </si>
  <si>
    <t>0889-048X</t>
  </si>
  <si>
    <t>1572-8366</t>
  </si>
  <si>
    <t>10.1007/s10460-019-09996-1</t>
  </si>
  <si>
    <t>OCT 2019</t>
  </si>
  <si>
    <t>WOS:000493266500001</t>
  </si>
  <si>
    <t>Hernandez-Martinez, J; Guzman-Muñoz, E; Ramirez-Campillo, R; Herrera-Valenzuela, T; Branco, BHM; Avila-Valencia, S; Carter-Beltran, JL; Aravena-Sagardia, P; Méndez-Cornejo, J; Valdés-Badilla, P</t>
  </si>
  <si>
    <t>Hernandez-Martinez, Jordan; Guzman-Munoz, Eduardo; Ramirez-Campillo, Rodrigo; Herrera-Valenzuela, Tomas; Magnani Branco, Braulio Henrique; Avila-Valencia, Sergio; Luis Carter-Beltran, Juan; Aravena-Sagardia, Pablo; Mendez-Cornejo, Jorge; Valdes-Badilla, Pablo</t>
  </si>
  <si>
    <t>Effects of different plyometric training frequencies on physical performance in youth male volleyball players: a randomized trial</t>
  </si>
  <si>
    <t>This study aimed to analyze the effect of plyometric training (PT) at different frequencies on jump performance, running sprint speed, and service speed in youth male volleyball players. The participants were randomly assigned to one PT session per week (Experimental Group 1, EG1, n = 15), two PT sessions per week (Experimental Group 2, EG2, n = 14), and a control group (CG, n = 13). The total weekly jumping ranged between 98 and 196 jumps (equalized between, EG1 and, EG2). The assessments performed were squat jump (SJ), countermovement jump (CMJ), CMJ-arms, drop jump (DJ), 5-m sprint, 10-m sprint, and service speed. The intragroup comparisons showed that, EG1 significantly (p &lt; 0.001) improved SJ (Delta = 12.74%; d = 1.30), CMJ (Delta = 11.94%; d = 1.71), CMJ-arms (Delta = 12.02%; d = 1.47), DJ (Delta = 10.93%; d = 1.30), 5-m sprint (Delta = -4.61%; d = 0.29), 10-m sprint (Delta = -3.95%; d = 0.40) and service speed (Delta = 8.17%; d = 1.53). Similarly, EG2 significantly (p(&lt;) 0.001) improved SJ (Delta = 11.52%; d = 1.25), CMJ (. = 11.29%; d = 1.38), CMJ-arms (Delta = 11.42%; d = 1.26), DJ (Delta = 13.90%; d = 2.17), 5-m sprint (Delta = -3.85%; d = 0.25), 10-m sprint (Delta = -2.73%; d = 0.25) and service speed (Delta = 6.77%; d = 1.44). The CG significantly (p &lt; 0.05) improved SJ (Delta = 2.68; d = 0.28), CMJ-arms (Delta = 2.30; d = 0.35), 5-m sprint (Delta = -1.27; d = 0.10) and service speed (Delta = 1.42; d = 0.30). Intergroup comparisons revealed significantly greater improvements in all variables (p &lt; 0.001) in, EG1 and, EG2 concerning to CG. However, no significant differences were found between, EG1 and, EG2. A moderate weekly PT volume, distributed in one or two sessions per week, seems equally effective.</t>
  </si>
  <si>
    <t>Hernandez-Martinez, Jordan/AAK-5115-2020; Herrera-Valenzuela, Tomas/L-1819-2019; Branco, Braulio/AAA-1747-2019; Ramirez-Campillo, Rodrigo/M-1258-2016; Magnani Branco, Braulio Henrique/B-8178-2017</t>
  </si>
  <si>
    <t>Guzman-Munoz, Eduardo/0000-0001-7001-9004; Magnani Branco, Braulio Henrique/0000-0002-4625-9128</t>
  </si>
  <si>
    <t>NOV 23</t>
  </si>
  <si>
    <t>10.3389/fphys.2023.1270512</t>
  </si>
  <si>
    <t>WOS:001118943200001</t>
  </si>
  <si>
    <t>Li, Y; Cha, QQ; Dang, YR; Chen, XL; Wang, M; McMinn, A; Espina, G; Zhang, YZ; Blamey, JM; Qin, QL</t>
  </si>
  <si>
    <t>Li, Yi; Cha, Qian-Qian; Dang, Yan-Ru; Chen, Xiu-Lan; Wang, Min; McMinn, Andrew; Espina, Giannina; Zhang, Yu-Zhong; Blamey, Jenny M.; Qin, Qi-Long</t>
  </si>
  <si>
    <t>Reconstruction of the Functional Ecosystem in the High Light, Low Temperature Union Glacier Region, Antarctica</t>
  </si>
  <si>
    <t>FRONTIERS IN MICROBIOLOGY</t>
  </si>
  <si>
    <t>Antarctica is covered by multiple larger glaciers with diverse extreme conditions. Microorganisms in Antarctic regions are primarily responsible for diverse biogeochemical processes. The identity and functionality of microorganisms from polar glaciers are defined. However, little is known about microbial communities from the high elevation glaciers. The Union Glacier, located in the inland of West Antarctica at 79 ffi S, is a challenging environment for life to survive due to the high irradiance and low temperatures. Here, soil and rock samples were obtained from three high mountains (Rossman Cove, Charles Peak, and Elephant Head) adjacent to the Union Glacier. Using metagenomic analyses, the functional microbial ecosystem was analyzed through the reconstruction of carbon, nitrogen and sulfur metabolic pathways. A low biomass but diverse microbial community was found. Although archaea were detected, bacteria were dominant. Taxa responsible for carbon fixation were comprised of photoautotrophs (Cyanobacteria) and chemoautotrophs (mainly Alphaproteobacterial clades: Bradyrhizobium, Sphingopyxis, and Nitrobacter). The main nitrogen fixation taxa were Halothece (Cyanobacteria), Methyloversatilis, and Leptothrix (Betaproteobacteria). Diverse sulfide-oxidizing and sulfate-reducing bacteria, fermenters, denitrifying microbes, methanogens, and methane oxidizers were also found. Putative producers provide organic carbon and nitrogen for the growth of other heterotrophic microbes. In the biogeochemical pathways, assimilation and mineralization of organic compounds were the dominant processes. Besides, a range of metabolic pathways and genes related to high irradiance, low temperature and other stress adaptations were detected, which indicate that the microbial communities had adapted to and could survive in this harsh environment. These results provide a detailed perspective of the microbial functional ecology of the Union Glacier area and improve our understanding of linkages between microbial communities and biogeochemical cycling in high Antarctic ecosystems.</t>
  </si>
  <si>
    <t>McMinn, Andrew/A-9910-2008; Espina, Giannina/AAD-5275-2020; Zhang, Ziyue/KSL-8395-2024; Blamey, Jenny/M-2637-2014; Wang, Min/AFR-9645-2022</t>
  </si>
  <si>
    <t>McMinn, Andrew/0000-0002-2133-3854; Wang, Min/0000-0002-2357-589X; Zhang, Yu-Zhong/0000-0002-2017-1005; Espina, Giannina/0000-0002-6308-7217</t>
  </si>
  <si>
    <t>1664-302X</t>
  </si>
  <si>
    <t>OCT 18</t>
  </si>
  <si>
    <t>10.3389/fmicb.2019.02408</t>
  </si>
  <si>
    <t>WOS:000491992700001</t>
  </si>
  <si>
    <t>Oyarzo, J; Acuña, A; Klahn, H; Arancibia, R; Silva, CP; Bosque, R; López, C; Font-Bardía, M; Calvis, C; Messeguer, R</t>
  </si>
  <si>
    <t>Oyarzo, Juan; Acuna, Alejandra; Klahn, Hugo; Arancibia, Rodrigo; Silva, Carlos P.; Bosque, Ramon; Lopez, Concepcion; Font-Bardia, Merce; Calvis, Carme; Messeguer, Ramon</t>
  </si>
  <si>
    <t>Isomeric and hybrid ferrocenyl/cyrhetrenyl aldimines: a new family of multifunctional compounds</t>
  </si>
  <si>
    <t>The synthesis and characterization of two novel and isomeric hybrid ferrocenyl/cyrhetrenyl aldimines [(eta(5)-C5H5)Fe{(eta(5)-C5H4)-CH-N-(eta(5)-C5H4)}Re(CO)(3)] (1) and [(eta(5)-C5H5)Fe{(eta(5)-C5H4)-N-CH-(eta(5)-C5H4)}Re(CO)(3)] (2) are reported. Their X-ray crystal structures reveal that both adopt the E form. However, molecules of 1 and 2 differ in the relative arrangement of the Fe(eta(5)-C5H5) and Re(CO)(3) units (anti in 1 and syn in 2). This affects the type of intermolecular interactions, the assembly of the molecules and therefore their crystal architecture. Comparative studies of their electrochemical, spectroscopic and photo-physical properties have allowed us to clarify the effect produced by the location of the organometallic arrays (ferrocenyl or cyrhetrenyl) on electronic delocalization, the proclivity of the metals to undergo oxidation and their emissive properties. Theoretical studies based on Density Functional Theory (DFT) calculations on the two compounds have also been carried out in order to rationalize the experimental results and to assign the bands detected in their electronic spectra. The cytotoxic activities of compounds 1 and 2 against human adenocarcinoma cell lines [breast (MCF7 and MDA-MB-231) and colon (HCT-116)] reveal that imine 2 has a greater inhibitory growth effect than 1 and it is ca. 1.8 times more potent than cisplatin in the triple negative MDA-MB 231 and in the cisplatin resistant HCT-116 cell lines. A comparative study of their effect on the normal and non-tumour human skin fibroblast BJ cell lines is also reported.</t>
  </si>
  <si>
    <t>Font-Bardía, Mercè/AAB-9197-2019; Silva, Carlos/IQS-5583-2023; Lopez, Concepcion/K-1100-2014; Bosque, Ramon/D-1635-2012</t>
  </si>
  <si>
    <t>Silva, Carlos P./0000-0001-5344-042X; Messeguer, Ramon/0000-0003-1913-7624; Lopez, Concepcion/0000-0001-7433-9582; Acuna, Alejandra/0000-0002-8976-1804; Bosque, Ramon/0000-0002-4796-5673; Font-Bardia, Merce/0000-0002-7892-8744; Oyarzo Montalvan, Juan Ignacio/0000-0002-1778-3051</t>
  </si>
  <si>
    <t>FEB 7</t>
  </si>
  <si>
    <t>10.1039/c7dt04142j</t>
  </si>
  <si>
    <t>WOS:000423760500032</t>
  </si>
  <si>
    <t>Aragonès, AC; Aravena, D; Valverde-Muñoz, FJ; Real, JA; Sanz, F; Díez-Pérez, I; Ruiz, E</t>
  </si>
  <si>
    <t>Aragones, Albert C.; Aravena, Daniel; Valverde-Munoz, Francisco J.; Antonio Real, Jose; Sanz, Fausto; Diez-Perez, Ismael; Ruiz, Eliseo</t>
  </si>
  <si>
    <t>Metal-Controlled Magnetoresistance at Room Temperature in Single-Molecule Devices</t>
  </si>
  <si>
    <t>JOURNAL OF THE AMERICAN CHEMICAL SOCIETY</t>
  </si>
  <si>
    <t>The appropriate choice of the transition metal complex and metal surface electronic structure opens the possibility to control the spin of the charge carriers through the resulting hybrid molecule/metal spinterface in a single molecule electrical contact at room temperature. The single molecule conductance of a Au/molecule/Ni junction can be switched by flipping the magnetization direction of the ferromagnetic electrode. The requirements of the molecule include not just the presence of unpaired electrons: the electronic configuration of the metal center has to provide occupied or empty orbitals that strongly interact with the junction metal electrodes and that are close in energy to their Fermi levels for one of the electronic spins only. The key ingredient for the metal surface is to provide an efficient spin texture induced by the spin orbit coupling in the topological surface states that results in an efficient spin-dependent interaction with the orbitals of the molecule. The strong magnetoresistance effect found in this kind of single-molecule wire opens a new approach for the design of room-temperature nanoscale devices based on spin-polarized currents controlled at molecular level.</t>
  </si>
  <si>
    <t>Real, Jose/AAG-5746-2019; Valverde-Muñoz, Francisco/JCO-3998-2023; Aragones, Albert C/P-8182-2018; Aravena, Daniel/F-2174-2011; Ruiz, Eliseo/A-6268-2011; Diez-Perez, Ismael/F-6402-2014</t>
  </si>
  <si>
    <t>Real Cabezos, Jose Antonio/0000-0002-2302-561X; Aragones, Albert C/0000-0002-1829-6941; Aravena, Daniel/0000-0003-3140-4852; Valverde Munoz, Francisco Javier/0000-0003-3578-5445; Ruiz, Eliseo/0000-0001-9097-8499; Diez-Perez, Ismael/0000-0003-0513-8888</t>
  </si>
  <si>
    <t>0002-7863</t>
  </si>
  <si>
    <t>1520-5126</t>
  </si>
  <si>
    <t>10.1021/jacs.6b11166</t>
  </si>
  <si>
    <t>WOS:000400321500030</t>
  </si>
  <si>
    <t>Venegas, FC; Rosas, D; Delgado, N; Estay-Olmos, C; Iturriaga-Vásquez, P; Rivera-Meza, M; Torres, GE; Renard, GM; Sotomayor-Zárate, R</t>
  </si>
  <si>
    <t>Venegas, Francisca C.; Rosas, Daniela; Delgado, Nicol; Estay-Olmos, Camila; Iturriaga-Vasquez, Patricio; Rivera-Meza, Mario; Torres, Gonzalo E.; Renard, Georgina M.; Sotomayor-Zarate, Ramon</t>
  </si>
  <si>
    <t>Early-life exposure to sex hormones promotes voluntary ethanol intake in adulthood. A vulnerability factor to drug addiction.</t>
  </si>
  <si>
    <t>PROGRESS IN NEURO-PSYCHOPHARMACOLOGY &amp; BIOLOGICAL PSYCHIATRY</t>
  </si>
  <si>
    <t>While there is extensive research on alcohol dependence, the factors that make an individual vulnerable to developing alcoholism haven't been explored much. In this study, we aim to investigate how neonatal exposure to sex hormones affects alcohol intake and the regulation of the mesolimbic pathway in adulthood. The study aimed to investigate the impact of neonatal exposure to a single dose of testosterone propionate (TP) or estradiol valerate (EV) on ethanol consumption in adult rats. The rats were subjected to a two-bottle freechoice paradigm, and the content of dopamine (DA) and 3,4-dihydroxyphenylacetic acid (DOPAC) in the nucleus accumbens (NAcc) was measured using HPLC-ED. The expression of critical DA-related proteins in the mesolimbic pathway was evaluated through RT-qPCR and western blot analysis. Supraphysiological neonatal exposure to EV or TP resulted in increased ethanol intake over four weeks in adulthood. In addition, the DA and DOPAC content was reduced and increased in the NAcc of EV and TP-treated rats, and beta-endorphin content in the hypothalamus decreased in EV-treated rats. The VTA mu receptor and DA type 2 form short receptor (D2S) expression were significantly reduced in EV and TP male rats. Finally, in an extended 6-week protocol, the increase in ethanol consumption induced by EV was mitigated during the initial two hours post-naloxone injection. Neonatal exposure to sex hormones is a detrimental stimulus for the brain, which can facilitate the development of addictive behaviors, including alcohol use disorder.</t>
  </si>
  <si>
    <t>Venegas, Francisca/0000-0002-4198-3221; Renard, Georgina Maria/0000-0002-5439-7547</t>
  </si>
  <si>
    <t>0278-5846</t>
  </si>
  <si>
    <t>1878-4216</t>
  </si>
  <si>
    <t>JUL 13</t>
  </si>
  <si>
    <t>10.1016/j.pnpbp.2024.111001</t>
  </si>
  <si>
    <t>WOS:001227397200001</t>
  </si>
  <si>
    <t>Avudaiappan, S; Moreno, PIC; Montoya, RLF; Chávez-Delgado, M; Arunachalam, KP; Guindos, P; Marzialetti, BT; Parra, PF; Flores, EIS; Arrey, JIF</t>
  </si>
  <si>
    <t>Avudaiappan, Siva; Moreno, Pablo Ignacio Cuello; R Luis, Felipe; Chavez-Delgado, Manuel; Arunachalam, Krishna Prakash; Guindos, Pablo; Marzialetti, B. Teresita; Parra, Pablo Fernando; Flores, Erick I. Saavedra; Arrey, Julio Ignacio Flores</t>
  </si>
  <si>
    <t>Experimental investigation on the physical, microstructural, and mechanical properties of hemp limecrete</t>
  </si>
  <si>
    <t>This paper investigates the hemp limecrete mechanical and microstructural performance of a new sustainable and environmental friendly building material. Several studies have investigated the hemp limecrete focusing on the non-structural applications. The newly developed hemp limecrete consists of high mechanical and microstructural properties. The specimens were prepared with varying lengths and proportions of hemp fibers with lime and tested for compressive strength, flexural strength, thermal conductivity and microstructural analysis like SEM and EDS. The study found that the optimal fiber content for making mortars was between 2 and 4%. This conclusion was reached after analyzing the influence of fiber length and ratio on the properties of the mortars. The dry unit weight decreased when the fiber content was higher than 4%. In terms of strength, the study found that the flexural strength of the hemp limecrete improved with an increase in fiber ratio, but the compressive strength decreased. However, with 2% hemp fiber, compressive strengths of 3.48 MPa and above were obtained. The study also highlighted the good thermal insulation properties and dimensional stability of hemp limecrete. These findings have important implications for the use of hemp limecrete as a sustainable building material. The results suggest that hemp limecrete has the potential to be a viable alternative to conventional concrete in specific applications, particularly in areas where environmental sustainability is a priority.</t>
  </si>
  <si>
    <t>Avudaiappan, Siva/AAV-7579-2021; Parra, Pablo/KIA-8461-2024; Chávez-Delgado, Manuel/GWN-0503-2022; Guindos, Pablo/A-4650-2019; ARUNACHALAM, Dr.KRISHNA PRAKASH/AEW-6862-2022</t>
  </si>
  <si>
    <t>Montoya Rendon, Luis Felipe/0000-0002-3727-8482; Chavez Delgado, Manuel Esteban/0000-0002-0821-667X; Parra, Pablo F./0000-0001-5671-6903; Guindos, Pablo/0000-0001-7471-0281; ARUNACHALAM, Dr.KRISHNA PRAKASH/0000-0002-5151-2474</t>
  </si>
  <si>
    <t>DEC 19</t>
  </si>
  <si>
    <t>10.1038/s41598-023-48144-y</t>
  </si>
  <si>
    <t>WOS:001132995200015</t>
  </si>
  <si>
    <t>Firmino, JP; Vallejos-Vidal, E; Balebona, MC; Ramayo-Caldas, Y; Cerezo, IM; Salomón, R; Tort, L; Estevez, A; Moriñigo, MA; Reyes-López, FE; Gisbert, E</t>
  </si>
  <si>
    <t>Firmino, Joana P.; Vallejos-Vidal, Eva; Balebona, M. Carmen; Ramayo-Caldas, Yuliaxis; Cerezo, Isabel M.; Salomon, Ricardo; Tort, Lluis; Estevez, Alicia; Morinigo, Miguel Angel; Reyes-Lopez, Felipe E.; Gisbert, Enric</t>
  </si>
  <si>
    <t>Diet, Immunity, and Microbiota Interactions: An Integrative Analysis of the Intestine Transcriptional Response and Microbiota Modulation in Gilthead Seabream (Sparus aurata) Fed an Essential Oils-Based Functional Diet</t>
  </si>
  <si>
    <t>Essential oils (EOs) are promising alternatives to chemotherapeutics in animal production due to their immunostimulant, antimicrobial, and antioxidant properties, without associated environmental or hazardous side effects. In the present study, the modulation of the transcriptional immune response (microarray analysis) and microbiota [16S Ribosomal RNA (rRNA) sequencing] in the intestine of the euryhaline fish gilthead seabream (Sparus aurata) fed a dietary supplementation of garlic, carvacrol, and thymol EOs was evaluated. The transcriptomic functional analysis showed the regulation of genes related to processes of proteolysis and inflammatory modulation, immunity, transport and secretion, response to cyclic compounds, symbiosis, and RNA metabolism in fish fed the EOs-supplemented diet. Particularly, the activation of leukocytes, such as acidophilic granulocytes, was suggested to be the primary actors of the innate immune response promoted by the tested functional feed additive in the gut. Fish growth performance and gut microbiota alpha diversity indices were not affected, while dietary EOs promoted alterations in bacterial abundances in terms of phylum, class, and genus. Subtle, but significant alterations in microbiota composition, such as the decrease in Bacteroidia and Clostridia classes, were suggested to participate in the modulation of the intestine transcriptional immune profile observed in fish fed the EOs diet. Moreover, regarding microbiota functionality, increased bacterial sequences associated with glutathione and lipid metabolisms, among others, detected in fish fed the EOs supported the metabolic alterations suggested to potentially affect the observed immune-related transcriptional response. The overall results indicated that the tested dietary EOs may promote intestinal local immunity through the impact of the EOs on the host-microbial co-metabolism and consequent regulation of significant biological processes, evidencing the crosstalk between gut and microbiota in the inflammatory regulation upon administration of immunostimulant feed additives.</t>
  </si>
  <si>
    <t>Morinigo, M./L-1659-2014; Tort, Lluis/H-5650-2011; Estevez, Alicia/AAE-1471-2021; Reyes-López, Felipe/S-1760-2018; Firmino, Joana/AAX-1575-2021; Salomón, Ricardo/ABC-8308-2021; Estevez, Alicia/K-7863-2014; Vallejos-Vidal, Eva/R-9606-2019; Gisbert, Enric/B-3654-2011; Ramayo-Caldas, Yuliaxis/B-6337-2014</t>
  </si>
  <si>
    <t>Estevez, Alicia/0000-0002-7776-0521; Vallejos-Vidal, Eva/0000-0002-3091-2700; Gisbert, Enric/0000-0002-7457-8468; Firmino, Joana/0000-0002-7694-0416; Salomon Figueredo, Ricardo/0000-0003-1433-2789; Cerezo, Isabel M./0000-0002-9265-3732; Ramayo-Caldas, Yuliaxis/0000-0002-8142-0159; Balebona Accino, Maria del Carmen/0000-0001-7421-2792; Tort, Lluis/0000-0002-3907-722X; Reyes-Lopez, Felipe E./0000-0002-5001-457X</t>
  </si>
  <si>
    <t>MAR 4</t>
  </si>
  <si>
    <t>10.3389/fimmu.2021.625297</t>
  </si>
  <si>
    <t>WOS:000630006600001</t>
  </si>
  <si>
    <t>Carmona, JM; Cortés, JL; Das, A; Gamboa, J; Méndez, F</t>
  </si>
  <si>
    <t>Carmona, Jose Manuel; Cortes, Jose Luis; Das, Ashok; Gamboa, Jorge; Mendez, Fernando</t>
  </si>
  <si>
    <t>Matter-antimatter asymmetry generated at low temperatures</t>
  </si>
  <si>
    <t>MODERN PHYSICS LETTERS A</t>
  </si>
  <si>
    <t>We explore the possibility of having baryogenesis at temperatures below any dilution mechanism, such as inflation or sphaleron effects at the electroweak transition. We find that large infrared CPT violation (CPTV) effects are a necessary ingredient for such a baryogenesis. We give an explicit example of a theory supporting this scenario at the kinematical level in which such CPTV effects are suppressed at the level of CPT tests based on mass differences between particle and antiparticle.</t>
  </si>
  <si>
    <t>Das, Ashok/K-7202-2017; Gamboa, Jorge/R-8744-2019; cortes, jose/C-3257-2012; Carmona Martinez, Jose Manuel/H-3732-2015</t>
  </si>
  <si>
    <t>Das, Ashok/0000-0002-4958-6706; Mendez, Fernando/0000-0002-9257-9552; cortes, jose/0000-0002-8282-3435; Carmona Martinez, Jose Manuel/0000-0003-2264-2306</t>
  </si>
  <si>
    <t>0217-7323</t>
  </si>
  <si>
    <t>1793-6632</t>
  </si>
  <si>
    <t>APR 10</t>
  </si>
  <si>
    <t>10.1142/S0217732306020111</t>
  </si>
  <si>
    <t>WOS:000237457700004</t>
  </si>
  <si>
    <t>de Victo, ER; Sales, D; Christofaro, DGD; Fisberg, M; Kovalskys, I; Martin, PD; Ferrari, G</t>
  </si>
  <si>
    <t>de Victo, Eduardo Rossato; Sales, Diego; Christofaro, Diego G. D.; Fisberg, Mauro; Kovalskys, Irina; del Val Martin, Pablo; Ferrari, Gerson</t>
  </si>
  <si>
    <t>Isotemporal substitution of sedentary time with different physical activity intensities and sleep in obesity parameters across eight latin American countries</t>
  </si>
  <si>
    <t>This study aimed to examine the associations between substituting sedentary time (ST) with physical activity and sleep with obesity parameters in adults from eight Latin American countries. The sample consisted of 2173 adults aged 18-65 years. Physical activity, ST and sleep were objectively measured using accelerometers. The parameters of obesity were defined using body mass index (BMI) and waist circumference (WC). Regression analyses were conducted for isotemporal analysis of the association between substituting 30 min/day of ST with light physical activity (LPA), moderate to vigorous physical activity (MVPA) and sleep in relation to BMI and WC. Substituting light physical activity with higher intensity was also analyzed. Substituting 30 min/day of ST with MVPA was significantly associated with lower odds of a higher BMI (OR: 0.993, 95%CI 0.990-0.998) and WC (OR: 0.998, 95%CI 0.998-0.999). Conversely, substituting ST with LPA did not show a significant impact on obesity parameters. However, the substitution of 30 min/day of LPA with MVPA was also associated with lower odds of a higher BMI (OR: 0.993, 95%CI 0.989-0.997). The results highlight the importance of replacing ST and increasing the intensity of physical activity as an effective strategy for preventing and managing obesity in Latin America.</t>
  </si>
  <si>
    <t>Ferrari, Gerson/HHM-6173-2022; Christofaro, Diego/C-3312-2014; Victo, Eduardo/JQI-9333-2023</t>
  </si>
  <si>
    <t>FEB 3</t>
  </si>
  <si>
    <t>10.1038/s41598-025-88230-x</t>
  </si>
  <si>
    <t>WOS:001413871500003</t>
  </si>
  <si>
    <t>Vejar, S; Pizarro, IS; Pulgar-Sepúlveda, R; Vicencio, SC; Polit, A; Amador, CA; del Rio, R; Varas, R; Orellana, JA; Ortiz, FC</t>
  </si>
  <si>
    <t>Vejar, Sebastian; Pizarro, Ignacio S.; Pulgar-Sepulveda, Raul; Vicencio, Sinay C.; Polit, Andres; Amador, Cristian A.; del Rio, Rodrigo; Varas, Rodrigo; Orellana, Juan A.; Ortiz, Fernando C.</t>
  </si>
  <si>
    <t>A preclinical mice model of multiple sclerosis based on the toxin-induced double-site demyelination of callosal and cerebellar fibers</t>
  </si>
  <si>
    <t>BackgroundMultiple sclerosis (MS) is an irreversible progressive CNS pathology characterized by the loss of myelin (i.e. demyelination). The lack of myelin is followed by a progressive neurodegeneration triggering symptoms as diverse as fatigue, motor, locomotor and sensory impairments and/or bladder, cardiac and respiratory dysfunction. Even though there are more than fourteen approved treatments for reducing MS progression, there are still no cure for the disease. Thus, MS research is a very active field and therefore we count with different experimental animal models for studying mechanisms of demyelination and myelin repair, however, we still lack a preclinical MS model assembling demyelination mechanisms with relevant clinical-like signs.ResultsHere, by inducing the simultaneous demyelination of both callosal and cerebellar white matter fibers by the double-site injection of lysolecithin (LPC), we were able to reproduce CNS demyelination, astrocyte recruitment and increases levels of proinflammatory cytokines levels along with motor, locomotor and urinary impairment, as well as cardiac and respiratory dysfunction, in the same animal model. Single site LPC-injections either in corpus callosum or cerebellum only, fails in to reproduce such a complete range of MS-like signs.ConclusionWe here report that the double-site LPC injections treatment evoke a complex MS-like mice model. We hope that this experimental approach will help to deepen our knowledge about the mechanisms of demyelinated diseases such as MS.</t>
  </si>
  <si>
    <t>Amador, Cristián/AAE-7348-2019; Del Rio, Rodrigo/AAF-8763-2020; Orellana, Juan/F-6148-2012</t>
  </si>
  <si>
    <t>Amador, Cristian/0000-0001-6802-6811; Ortiz, Fernando C/0000-0002-4776-4492</t>
  </si>
  <si>
    <t>JUL 22</t>
  </si>
  <si>
    <t>10.1186/s40659-024-00529-7</t>
  </si>
  <si>
    <t>WOS:001273093300001</t>
  </si>
  <si>
    <t>Neira, A; Silvestre, R; Debandi, A; Darras, D; Cristi-Sanchez, I; Barra, I; Penailillo, L; de la Fuente, C</t>
  </si>
  <si>
    <t>Neira, Alejandro; Silvestre, Rony; Debandi, Anibal; Darras, Daniel; Cristi-Sanchez, Iver; Barra, Ignacio; Penailillo, Luis; De La Fuente, Carlos</t>
  </si>
  <si>
    <t>Is the Rotatory Knee Stability Immediately Decreased Following a Competitive Soccer Match?</t>
  </si>
  <si>
    <t>FRONTIERS IN BIOENGINEERING AND BIOTECHNOLOGY</t>
  </si>
  <si>
    <t>Fatigue induced by soccer playing increases physical efforts, which might alter the transverse knee stability, a known factor that promotes knee injuries, particularly anterior cruciate ligament injury. Thereby, primarily, we aimed to determine whether rotatory knee stability decreases immediately following a competitive soccer match in amateur players. Furthermore, we assessed the role of the preferred and non-preferred limbs to kick a ball in rotatory knee stability and the correlation between performance parameters and rotatory knee stability. We hypothesized that the knee stability decreases immediately after a competitive soccer match in amateur players. Eight healthy amateur soccer players (aged 27.2 +/- 4.7 years and with body mass index of 23.8 +/- 1.2 kg m(-2)) were included immediately before and after a competitive soccer match. The rotatory knee stability was assessed in the preferred and non-preferred limbs through the acceleration and jerk of the pivot shift maneuver and by the internal knee rotation of a pivoting landing task. Two-way repeated-measures ANOVA for factors time (before and after the soccer match) and limb (preferred and non-preferred) and multiple comparisons were performed using alpha = 5%. There was a statistical significance for the main factor time in the acceleration (5.04 vs. 6.90 ms(-2), Delta = 1.86 ms(-2), p = 0.020, eta(2) = 0.331) and jerk (18.46 vs. 32.10 ms(-2), Delta = 13.64 ms(-2), p = 0.004, eta(2) = 0.456) of the pivot shift maneuver. Rotatory stability decreases following a competitive soccer match in amateur soccer players under fatigue. Both the acceleration and jerk during the pivot shift maneuver is increased without significant internal knee rotation changes during the pivoting landing task.</t>
  </si>
  <si>
    <t>Penailillo, Luis/ABF-4100-2021; De la Fuente, Carlos Ignacio/JOK-9655-2023; Penailillo, Luis/T-7104-2017</t>
  </si>
  <si>
    <t>Penailillo, Luis/0000-0001-7697-9700; De la Fuente, Carlos/0000-0002-2429-837X</t>
  </si>
  <si>
    <t>2296-4185</t>
  </si>
  <si>
    <t>10.3389/fbioe.2022.903131</t>
  </si>
  <si>
    <t>WOS:000837075800001</t>
  </si>
  <si>
    <t>Olguín, Y; Campos, C; Catalán, J; Velásquez, L; Osorio, F; Montenegro, I; Madrid, A; Acevedo, C</t>
  </si>
  <si>
    <t>Olguin, Yusser; Campos, Cristian; Catalan, Javiera; Velasquez, Luis; Osorio, Fernando; Montenegro, Ivan; Madrid, Alejandro; Acevedo, Cristian</t>
  </si>
  <si>
    <t>Effects of Liposomes Contained in Thermosensitive Hydrogels as Biomaterials Useful in Neural Tissue Engineering</t>
  </si>
  <si>
    <t>Advances in the generation of suitable thermosensitive hydrogels for the delivery of cells in neural tissue engineering demonstrate a delicate relationship between physical properties and capabilities to promote cell proliferation and differentiation. To improve the properties of these materials, it is possible to add liposomes for the controlled release of bioactive elements, which in turn can affect the physical and biological properties of the hydrogels. In the present investigation, different hydrogels based on Pluronic F127 have been formulated with the incorporation of chitosan and two types of liposomes of two different sizes. The rheological and thermal properties and their relation with the neurite proliferation and growth of the PC12 cell line were evaluated. Our results show that the incorporation of liposomes modifies the properties of the hydrogels dependent on the concentration of chitosan and the lipid type in the liposomes, which directly affect the capabilities of the hydrogels to promote the viability and differentiation of PC12 cells.</t>
  </si>
  <si>
    <t>Acevedo, Cristian/D-5133-2011; osorio, fernando/AAY-7304-2021; Campos, Cristian/D-6926-2016</t>
  </si>
  <si>
    <t>osorio, fernando/0000-0001-7206-0924; Campos, Cristian/0000-0001-8592-5384; Velasquez, Luis/0000-0002-9479-1792; Olguin, Yusser/0000-0002-4987-1718; madrid, alejandro/0000-0001-8977-7032</t>
  </si>
  <si>
    <t>10.3390/ma10101122</t>
  </si>
  <si>
    <t>WOS:000414639000017</t>
  </si>
  <si>
    <t>Forn-Díaz, P; Romero, G; Harmans, CJPM; Solano, E; Mooij, JE</t>
  </si>
  <si>
    <t>Forn-Diaz, P.; Romero, G.; Harmans, C. J. P. M.; Solano, E.; Mooij, J. E.</t>
  </si>
  <si>
    <t>Broken selection rule in the quantum Rabi model</t>
  </si>
  <si>
    <t>Understanding the interaction between light and matter is very relevant for fundamental studies of quantum electrodynamics and for the development of quantum technologies. The quantum Rabi model captures the physics of a single atom interacting with a single photon at all regimes of coupling strength. We report the spectroscopic observation of a resonant transition that breaks a selection rule in the quantum Rabi model, implemented using an LC resonator and an artificial atom, a superconducting qubit. The eigenstates of the system consist of a superposition of bare qubit-resonator states with a relative sign. When the qubit-resonator coupling strength is negligible compared to their own frequencies, the matrix element between excited eigenstates of different sign is very small in presence of a resonator drive, establishing a sign-preserving selection rule. Here, our qubit-resonator system operates in the ultrastrong coupling regime, where the coupling strength is 10% of the resonator frequency, allowing sign-changing transitions to be activated and, therefore, detected. This work shows that sign-changing transitions are an unambiguous, distinctive signature of systems operating in the ultrastrong coupling regime of the quantum Rabi model. These results pave the way to further studies of sign-preserving selection rules in multiqubit and multiphoton models.</t>
  </si>
  <si>
    <t>Mooij, Johan/B-1371-2012; Solano, Enrique/C-2895-2017; Forn-Diaz, Pol/G-5134-2010; Romero, Guillermo/C-8245-2009</t>
  </si>
  <si>
    <t>Forn-Diaz, Pol/0000-0003-4365-5157; Romero, Guillermo/0000-0003-2917-7814; SOLANO VILLANUEVA, ENRIQUE LEONIDAS/0000-0002-8602-1181</t>
  </si>
  <si>
    <t>JUN 7</t>
  </si>
  <si>
    <t>10.1038/srep26720</t>
  </si>
  <si>
    <t>WOS:000377661600001</t>
  </si>
  <si>
    <t>Del Canto, F; Valenzuela, P; Cantero, L; Bronstein, J; Blanco, JE; Blanco, J; Prado, V; Levine, M; Nataro, J; Sommerfelt, H; Vidal, R</t>
  </si>
  <si>
    <t>Del Canto, Felipe; Valenzuela, Patricio; Cantero, Lidia; Bronstein, Jonathan; Blanco, Jesus E.; Blanco, Jorge; Prado, Valeria; Levine, Myron; Nataro, James; Sommerfelt, Halvor; Vidal, Roberto</t>
  </si>
  <si>
    <t>Distribution of Classical and Nonclassical Virulence Genes in Enterotoxigenic Escherichia coli Isolates from Chilean Children and tRNA Gene Screening for Putative Insertion Sites for Genomic Islands</t>
  </si>
  <si>
    <t>JOURNAL OF CLINICAL MICROBIOLOGY</t>
  </si>
  <si>
    <t>Enterotoxigenic Escherichia coli (ETEC) is an important cause of diarrhea. Three adhesins (Tia, TibA, EtpA), an iron acquisition system (Irp1, Irp2, and FyuA), a GTPase (LeoA), and an autotransporter (EatA) are ETEC virulence-related proteins that, in contrast to the classical virulence factors (enterotoxins and fimbrial colonization factors) have not heretofore been targets in characterizing isolates from epidemiological studies. Here, we determined the occurrence of these nonclassical virulence genes in 103 ETEC isolates from Chilean children with diarrhea and described their association with O serogroups and classical virulence determinants. Because tia, leoA, irp2, and fyuA are harbored by pathogenicity islands inserted into the selC and asnT tRNA genes (tDNAs), we analyzed the regions flanking these loci. Ten additional tDNAs were also screened to identify hot spots for genetic insertions. Associations between the most frequent serogroups and classical colonization factor (CF)-toxin profiles included O6/LT-STh/CS1-CS3-CS21 (i.e., O6 serogroup, heat-labile [LT] and human heat-stable [STh] enterotoxins, and CFs CS1, -3 and -21), O6/LT-STh/CS2-CS3-CS21, and O104-O127/STh/CFAI-CS21. The eatA and etpA genes were detected in more than 70% of the collection, including diverse serogroups and virulence profiles. Sixteen percent of the ETEC strains were negative for classical and nonclassical adhesins, suggesting the presence of unknown determinants of adhesion. The leuX, thrW, and asnT tDNAs were disrupted in more than 65% of strains, suggesting they are hot spots for the insertion of mobile elements. Sequences similar to integrase genes were identified next to the thrW, asnT, pheV, and selC tDNAs. We propose that the eatA and etpA genes should be included in characterizations of ETEC isolates in future epidemiological studies to determine their prevalence in other geographical regions. Sequencing of tDNA-associated genetic insertions might identify new ETEC virulence determinants.</t>
  </si>
  <si>
    <t>Prado, Valeria/MCJ-4801-2025; Bronstein Croce, Jonathan/JVD-5854-2023; Sommerfelt, Halvor/ABD-3552-2020; Blanco, Jorge/C-7161-2013; Del Canto, Felipe/P-1707-2014; Valenzuela, Patricio/F-8264-2016</t>
  </si>
  <si>
    <t>Blanco, Jorge/0000-0003-0264-4136; Bronstein Croce, Jonathan/0000-0003-2901-8899; Blanco Alvarez, Jesus Eulogio/0000-0002-5071-4760; Vidal, Roberto/0000-0003-4223-1985</t>
  </si>
  <si>
    <t>0095-1137</t>
  </si>
  <si>
    <t>10.1128/JCM.02473-10</t>
  </si>
  <si>
    <t>WOS:000294416000015</t>
  </si>
  <si>
    <t>Zagal, JH; Griveau, S; Ozoemena, KI; Nyokong, T; Bedioui, F</t>
  </si>
  <si>
    <t>Zagal, Jose H.; Griveau, Sophie; Ozoemena, Kenneth I.; Nyokong, Tebello; Bedioui, Fethi</t>
  </si>
  <si>
    <t>Carbon Nanotubes, Phthalocyanines and Porphyrins: Attractive Hybrid Materials for Electrocatalysis and Electroanalysis</t>
  </si>
  <si>
    <t>The manuscript discusses different ways of forming hybrid materials between single (SWCNT) or multi (MWCNT) walled carbon nanotubes and biomimetic compounds such as metalloporphyrins, metallophthalocyanines and other MN4 complexes. The hybrid materials are employed for electrocatalysis of reactions such as oxygen and hydrogen peroxide reduction, nitric oxide oxidation, oxidation of thiols and other pollutants. Methods of characterizing the hybrid materials such as cyclic voltammetry (CV), scanning electron microscopy (SEM), transmission electron microscopy (TEM), X-ray photoelectron spectroscopy (XPS), atomic force microscopy (AFM) and scanning electrochemical microscopy (SECM) are discussed.</t>
  </si>
  <si>
    <t>zagal, jose/L-9648-2014; Ozoemena, Kenneth/P-8118-2018; Nyokong, Tebello/P-7644-2017; Bedioui, Fethi/N-3507-2014</t>
  </si>
  <si>
    <t>Ozoemena, Kenneth/0000-0001-7107-7003; Nyokong, Tebello/0000-0002-4590-9926; Bedioui, Fethi/0000-0002-0063-4412</t>
  </si>
  <si>
    <t>10.1166/jnn.2009.SE15</t>
  </si>
  <si>
    <t>WOS:000264489800004</t>
  </si>
  <si>
    <t>Hunersen, K; Li, MM; Pinandari, AW; Mbela, P; van Reeuwijk, M; Barker, KM; Maddaleno, M; Moreau, C</t>
  </si>
  <si>
    <t>Hunersen, Kara; Li, Mengmeng; Pinandari, Anggriyani Wahyu; Mbela, Pierrot; van Reeuwijk, Miranda; Barker, Kathryn M.; Maddaleno, Matilde; Moreau, Caroline</t>
  </si>
  <si>
    <t>Understanding How Gender Transformative Interventions Affect Adolescent Sexuality: A Cross-Cultural Perspective</t>
  </si>
  <si>
    <t>JOURNAL OF ADOLESCENT HEALTH</t>
  </si>
  <si>
    <t>Purpose: Early adolescence is a critical period for developing healthy sexual and reproductive health (SRH) knowledge, attitudes, and behaviors. However, a gap exists in interventions targeting very young adolescents that encompass the multilevel influences impacting healthy sexuality. This examination of two SRH programs in Indonesia and the Democratic Republic of Congo will elucidate facilitators and barriers to improving young adolescent sexuality. Methods: The Growing Up Great! (GUG) intervention in the Democratic Republic of Congo and Semangat Dunia Remaja or Teen Aspirations intervention in three districts in Indonesia were evaluated using the Global Early Adolescent Study survey. Adolescents were interviewed in 2017 and one year later in Kinshasa (n = 2,519). In Indonesia, baseline in 2018 was follow-up in 2020 in Bandar Lampung (n = 948), Denpasar (n = 1,156), and Semarang (n = 1,231). Outcomes included SRH knowledge and communication, awareness of SRH services, and attitudes about sexuality. Analysis followed a difference-in-difference approach to compare changes in each outcome over time between interventions and controls. Results: Both interventions improved pregnancy and HIV knowledge, while Semangat Dunia Remaja or Teen Aspirations also improved SRH communication. Results differed by site in Indonesia, with Semarang, the site that adhered most closely to intervention design, observed the most improvements. Differential effects were also seen by gender, especially in Kinshasa where girls advanced in SRH communication and knowledge but not boys. Girls in Semarang shifted normative SRH attitudes, and boys in Denpasar improved knowledge. Discussion: Interventions targeting very young adolescents can improve SRH knowledge, communication, and attitudes, though impact depends on context and implementation. Future programs should incorporate the community and environment influencing adolescent experiences with sexuality. (c) 2023 Published by Elsevier Inc. on behalf of Society for Adolescent Health and Medicine. This is an open access article under the CC BY license (http://creativecommons.org/licenses/by/4.0/).</t>
  </si>
  <si>
    <t>Barker, Kathryn/KBD-4684-2024; Li, Mengmeng/AAO-2017-2021</t>
  </si>
  <si>
    <t>Wahyu, Anggriyani Pinandari/0000-0003-3584-5778; Hunersen, Kara/0000-0001-8412-4980</t>
  </si>
  <si>
    <t>1054-139X</t>
  </si>
  <si>
    <t>1879-1972</t>
  </si>
  <si>
    <t>S65</t>
  </si>
  <si>
    <t>S73</t>
  </si>
  <si>
    <t>10.1016/j.jadohealth.2023.02.030</t>
  </si>
  <si>
    <t>WOS:001038798900009</t>
  </si>
  <si>
    <t>Prieto-Benavides, DH; García-Hermoso, A; Izquierdo, M; Alonso-Martínez, AM; Agostinis-Sobrinho, C; Correa-Bautista, JE; Ramírez-Vélez, R</t>
  </si>
  <si>
    <t>Humberto Prieto-Benavides, Daniel; Garcia-Hermoso, Antonio; Izquierdo, Mikel; Maria Alonso-Martinez, Alicia; Agostinis-Sobrinho, Cesar; Enrique Correa-Bautista, Jorge; Ramirez-Velez, Robinson</t>
  </si>
  <si>
    <t>Cardiorespiratory Fitness Cut-Points are Related to Body Adiposity Parameters in Latin American Adolescents</t>
  </si>
  <si>
    <t>Background and Objectives: A deficiency exists in the criterion-referenced cut-points for field-based cardiorespiratory fitness (CRF) in Latin American youths. The aims of the present study were two-fold: (1) To identify the ability of CRF estimated by the 20-m shuttle-run test (20mSRT) to differentiate between healthy and unhealthy phenotypes (by adiposity) in adolescents; (2) to assess the association between obesity and relative peak oxygen uptake (VO(2)peak) in a large and diverse sample of Latin American youths. In total, 72,505 adolescents aged between 13 and 15 years were recruited from Chile and Colombia (47.5% girls). Materials and Methods: The waist circumference (WC) and waist-to-height ratio (WHtR) were used to identify body adiposity markers. CRF was measured using the 20mSRT (VO(2)peak). Receiver operating characteristic curves and logistic regression were used to determine the discriminatory ability of CRF to predict body adiposity parameters. Results: For boys and girls, VO(2)peak showed a significant predictive capacity to detect body fat (area under the curve [AUC] &gt; 0.62). The sensitivity of VO(2)peak was medium (&gt;63%) for all age- and sex-specific cut-points, with optimal cut-points in 13- to 15-year olds for obesity identified as 43.77 mL.kg(-1).min(-1) and 38.53 mL.kg(-1).min(-1) in boys and girls, respectively. Conclusions: According to these cut-points, adolescents with low CRF were more likely to be obese either by WC or WHtR. The CRF cut-points can be used as quantitative markers for a healthier body in Latin American adolescents.</t>
  </si>
  <si>
    <t>García-Hermoso, Antonio/ADU-2591-2022; Correa-Bautista, Jorge Enrique/JDD-3131-2023; Agostinis Sobrinho, Cesar Aparecido/B-4971-2018; Ramirez-Velez, Robinson/D-5311-2016; Alonso-Martinez, Alicia M./KYR-7889-2024; Garcia-Hermoso, Antonio/P-1857-2017; Correa-Bautista, Jorge Enrique/N-2741-2015; Izquierdo, Mikel/A-4894-2010</t>
  </si>
  <si>
    <t>Agostinis Sobrinho, Cesar Aparecido/0000-0001-9104-9042; Ramirez-Velez, Robinson/0000-0003-3075-6960; Alonso-Martinez, Alicia M./0000-0002-7204-696X; Garcia-Hermoso, Antonio/0000-0002-1397-7182; Correa-Bautista, Jorge Enrique/0000-0002-0646-2316; Izquierdo, Mikel/0000-0002-1506-4272</t>
  </si>
  <si>
    <t>10.3390/medicina55090508</t>
  </si>
  <si>
    <t>WOS:000490752800001</t>
  </si>
  <si>
    <t>Muñoz, L; Pineda, F; Martínez, C; Sancy, M; Urzua, M; Flores, M; Encinas, MV; Páez, MA</t>
  </si>
  <si>
    <t>Munoz, Lisa; Pineda, Fabiola; Martinez, Carola; Sancy, Mamie; Urzua, Marcela; Flores, Marcos; Encinas, Maria V.; Paez, Maritza A.</t>
  </si>
  <si>
    <t>Improving the interaction between aluminum surfaces and polymer coatings</t>
  </si>
  <si>
    <t>SURFACE &amp; COATINGS TECHNOLOGY</t>
  </si>
  <si>
    <t>To better understand the effect of surface treatments on the efficiency of protective coatings of aluminum alloys, this study assessed different surface treatments for the aluminum alloy AA2024, including mechanical polishing, chemical etching and Ar-plasma pretreatment followed by deposition of poly(methyl methacrylate). Surface morphology, surface chemical analysis and wettability of the treated samples were characterized by scanning electron microscopy, X-ray photoelectron spectroscopy and contact angle, respectively. Open circuit potential and electrochemical impedance spectroscopy were carried out in a 0.1 M solution of Na2SO4 as a function of exposure time. SEM images revealed that a homogeneous and well incorporated poly-(methyl methacrylate) coating was obtained by using Ar-plasma as a pretreatment. XPS spectra showed that the Al-O/Al-OH intensity ratio of the Ar-plasma pretreated samples does not show clear dependence on angle measurement, which indicates that Al(OH) and Al2O3 are not homogenously distributed on the sample surfaces. Al2O3 does not completely cover the aluminum surface, leaving some areas exposed. The measurements of the hysteresis angle showed that the Ar-plasma pretreatment favors chemical heterogeneity, which in turn increases the hydrophilicity of the coated samples, resulting in lower wettability and a greater hysteresis angle. The electrochemical results showed that the Ar-plasma pretreatment significantly improves the protective capacity of poly(methyl methacrylate).</t>
  </si>
  <si>
    <t>Urzúa, Marcela/E-1429-2014; Paez, Maritza/M-2010-2014; Encinas, Maria/L-9686-2014; Sancy, Mamie/L-6270-2014; Flores Carrasco, Marcos/E-8058-2012; Martinez Ugalde, Carola/P-5399-2018</t>
  </si>
  <si>
    <t>munoz, lisa/0000-0002-4588-2620; Sancy, Mamie/0000-0001-9523-2629; paez, maritza/0000-0001-5881-884X; Urzua Acevedo, Marcela Del Pilar/0000-0002-2371-620X; Pineda, Fabiola/0000-0002-1508-7327; Flores Carrasco, Marcos/0000-0002-9766-2830; Martinez Ugalde, Carola/0000-0001-5247-6703</t>
  </si>
  <si>
    <t>0257-8972</t>
  </si>
  <si>
    <t>10.1016/j.surfcoat.2018.11.051</t>
  </si>
  <si>
    <t>WOS:000456762300052</t>
  </si>
  <si>
    <t>Noseda, R; Constandil, L; Bourgeais, L; Chalus, M; Villanueva, L</t>
  </si>
  <si>
    <t>Noseda, Rodrigo; Constandil, Luis; Bourgeais, Laurence; Chalus, Maryse; Villanueva, Luis</t>
  </si>
  <si>
    <t>Changes of Meningeal Excitability Mediated by Corticotrigeminal Networks: A Link for the Endogenous Modulation of Migraine Pain</t>
  </si>
  <si>
    <t>JOURNAL OF NEUROSCIENCE</t>
  </si>
  <si>
    <t>Alterations in cortical excitability are implicated in the pathophysiology of migraine. However, the relationship between cortical spreading depression (CSD) and headache has not been fully elucidated. We aimed to identify the corticofugal networks that directly influence meningeal nociception in the brainstem trigeminocervical complex (Sp5C) of the rat. Cortical areas projecting to the brainstem were first identified by retrograde tracing from Sp5C areas that receive direct meningeal inputs. Anterograde tracers were then injected into these cortical areas to determine the precise pattern of descending axonal terminal fields in the Sp5C. Descending cortical projections to brainstem areas innervated by the ophthalmic branch of the trigeminal nerve originate contralaterally from insular (Ins) and primary somatosensory (S1) cortices and terminate in laminae I-II and III-V of the Sp5C, respectively. In another set of experiments, electrophysiological recordings were simultaneously performed in Ins, SI or primary visual cortex (V1), and Sp5C neurons. KCl was microinjected into such cortical areas to test the effects of CSD on meningeal nociception. CSD initiated in Ins and SI induced facilitation and inhibition of meningeal-evoked responses, respectively. CSD triggered in VI affects differently Ins and SI cortices, enhancing or inhibiting meningeal-evoked responses of Sp5C, without affecting cutaneous-evoked nociceptive responses. Our data suggest that top-down influences from lateralized areas within Ins and SI selectively affect interoceptive (meningeal) over exteroceptive (cutaneous) nociceptive inputs onto Sp5C. Such corticofugal influences could contribute to the development of migraine pain in terms of both topographic localization and pain tuning during an attack.</t>
  </si>
  <si>
    <t>Noseda, Rodrigo/AAN-1761-2020; VILLANUEVA, LUIS/AAX-2817-2020</t>
  </si>
  <si>
    <t>Constandil, Luis/0000-0002-2504-0119; Villanueva, Luis/0000-0003-3872-9211; Noseda, Rodrigo/0000-0002-9641-4691; Bourgeais Rambur, Laurence/0000-0001-9756-9030</t>
  </si>
  <si>
    <t>0270-6474</t>
  </si>
  <si>
    <t>1529-2401</t>
  </si>
  <si>
    <t>OCT 27</t>
  </si>
  <si>
    <t>10.1523/JNEUROSCI.3025-10.2010</t>
  </si>
  <si>
    <t>WOS:000283790800018</t>
  </si>
  <si>
    <t>Venegas-Yazigi, D; Mirza, H; Lever, ABP; Lough, AJ; Costamagna, J; Latorre, RN</t>
  </si>
  <si>
    <t>Bis(acetonitrile-N)(o-benzoquinone diimine-N,N′)-trans-bis(triphenylphosphine-P)ruthenium(II) bis(hexafluorophosphate) methanol solvate</t>
  </si>
  <si>
    <t>The title complex, [Ru(C2H3N)(2)(C6H6N2)(C18H15P)(2)](PF6)(2). CH4O, is the third of a series of ruthenium complexes containing two triphenylphosphine groups in a trans arrangement, o-benzoquinone diimine and two other non-redox active ligands to been characterized. The effect of electron donor-acceptor properties of the two non-redox active ligands does not change the quinone arrangement for the o-benzoquinone diimine ligand, as can be seen from the bond distances of the quinone ring. The asymmetric unit contains half a molecule of complex cation (on a twofold rotation axis), one hexafluorophosphate anion and half a molecule of methanol in a general position close to a twofold rotation axis.</t>
  </si>
  <si>
    <t>E281</t>
  </si>
  <si>
    <t>E282</t>
  </si>
  <si>
    <t>10.1107/S0108270100007654</t>
  </si>
  <si>
    <t>WOS:000088144900071</t>
  </si>
  <si>
    <t>Hernandez-Martinez, J; Perez-Carcamo, J; Melki, H; Cid-Calfucura, I; Vasquez-Carrasco, E; Delgado-Floody, P; Romero, C; Herrera-Valenzuela, T; Branco, BHM; Valdés-Badilla, P</t>
  </si>
  <si>
    <t>Hernandez-Martinez, Jordan; Perez-Carcamo, Joaquin; Melki, Hassan; Cid-Calfucura, Izham; Vasquez-Carrasco, Edgar; Delgado-Floody, Pedro; Romero, Claudio; Herrera-Valenzuela, Tomas; Branco, Braulio Henrique Magnani; Valdes-Badilla, Pablo</t>
  </si>
  <si>
    <t>Effects of Exergaming on Morphological Variables, Biochemical Parameters, and Blood Pressure in Children and Adolescents with Overweight/Obesity: A Systematic Review with Meta-Analysis of Randomized Controlled Trials</t>
  </si>
  <si>
    <t>CHILDREN-BASEL</t>
  </si>
  <si>
    <t>Objectives: This systematic review with meta-analysis aimed to evaluate the available body of published peer-reviewed studies on the effects of exergaming (EXG) compared to the control group (CG) on morphological variables, biochemical parameters, and blood pressure in children and adolescents with overweight/obesity. Methods: A systematic literature search was conducted until September 2024 using five databases: PubMed, Medline, CINAHL Complete, Scopus, and Web of Science. PRISMA, TESTEX, RoB 2, and GRADE tools assessed the methodological quality and certainty of evidence. Hedge's g effect sizes (ES) for morphological, biochemical, and blood pressure variables were calculated for meta-analyses. Using a random effects model, potential sources of heterogeneity were selected, including subgroup analyses (age) and single training factor analysis (program duration, training frequency). The protocol was registered in PROSPERO (code: CRD42024626992). Results: Out of 72 records, 6 randomized controlled trials with 191 children and adolescents with overweight/obesity were included. Nine meta-analyses were performed, showing significant decreases in body mass index (p = 0.04), waist circumference (p = 0.03), and systolic blood pressure (p = 0.007). However, no significant improvements were observed in diastolic blood pressure, body fat percentage, total cholesterol, HDL-cholesterol, LDL-cholesterol, triglycerides, and glucose. Subgroup analyses showed significant decreases in total cholesterol (&lt;15 years, ES = 0.56; p = 0.006), HDL-cholesterol (&lt;15 years, ES = 0.51; p = 0.01), LDL-cholesterol (&lt;15 years, ES = 0.63; p = 0.01), and triglycerides (&lt;15 years, ES = 0.82; p = 0.000). In training duration, only significant decreases in total cholesterol (ES = 0.69; p = 0.02) were presented in favor of &lt;12 weeks vs. &gt;= 12 weeks. While in training frequency only significant decreases in triglycerides (ES = 0.70; p = 0.03) were reported in favor of &gt;= 3 sessions per week vs. &lt;3 sessions per week. Conclusions: EXG significantly decreases body mass index, waist circumference, and systolic blood pressure in children and adolescents with overweight/obesity.</t>
  </si>
  <si>
    <t>Hernandez-Martinez, Jordan/AAK-5115-2020; Branco, Braulio/AAA-1747-2019; Herrera-Valenzuela, Tomas/L-1819-2019; Magnani Branco, Braulio Henrique/B-8178-2017; Delgado-Floody, Pedro/D-9779-2019</t>
  </si>
  <si>
    <t>Cid, Izham/0000-0002-2172-867X; Magnani Branco, Braulio Henrique/0000-0002-4625-9128; Delgado-Floody, Pedro/0000-0001-9952-993X; Valdes-Badilla, Pablo/0000-0002-3948-8280; Vasquez Carrasco, Edgar Maximiliano/0000-0002-5359-6587; Herrera-Valenzuela, Tomas/0000-0002-5219-5896</t>
  </si>
  <si>
    <t>2227-9067</t>
  </si>
  <si>
    <t>10.3390/children12010029</t>
  </si>
  <si>
    <t>WOS:001405685600001</t>
  </si>
  <si>
    <t>Shanmugaraj, K; Campos, CH; Singh, DP; Gracia-Pinilla, MA; de León, JND; Aepuru, R; Mangalaraja, RV</t>
  </si>
  <si>
    <t>Shanmugaraj, Krishnamoorthy; Campos, Cristian H.; Singh, Dinesh Pratap; Gracia-Pinilla, M. A.; de Leon, J. N. Diaz; Aepuru, Radhamanohar; Mangalaraja, Ramalinga Viswanathan</t>
  </si>
  <si>
    <t>Edge-site selective decoration of silver nanoparticles on TiO2 nanosheets for the rapid catalytic reduction of nitroarenes</t>
  </si>
  <si>
    <t>JOURNAL OF ENVIRONMENTAL CHEMICAL ENGINEERING</t>
  </si>
  <si>
    <t>In this study, we aim to construct an edge-site selective deposition of silver nanoparticles on TiO2 nanosheets (Ag-TiO2NSs) for the catalytic reduction of toxic nitroarenes (NAs) using NaBH4 medium. The as-prepared AgTiO2NSs were characterized by various analytical techniques such as XRD, HR-TEM, SEM-EDAX, elemental mapping and XPS analyses. The HR-TEM images confirmed that the Ag nanoparticles (AgNPs) size of around 3.05 +/- 0.5 nm in diameter exhibited the selective growth specifically on the edges of the TiO2NSs. Additionally, it was observed that the TiO2NSs exhibited a high exposure of (101) facets. The prepared Ag-TiO2NSs catalyst exhibited remarkably high catalytic activity in the reduction of 4-nitrophenol (4-NP) (-6 min, Kapp: 9.2 x 10-3 s-1 and TOF: 1.13 x 10-6 mol mg-1 min-1), which was comparable to or surpassing the catalytic performance of most of the previously reported Ag-based catalysts. Moreover, the catalyst showed an excellent catalytic reduction ability of other NAs such as 4-nitroaniline (4-NA) (-10 min, 2.8 x 10-3 s-1), 4-(4-nitrophenyl)morpholine (4-NM) (-8 min, 6.0 x 10-3 s-1), and 4-(2-fluoro-4-nitrophenyl)morpholine (4-FNM) (-11 min, 4.2 x 10-3 s-1). In addition, the Ag-TiO2NSs exhibited commendable recyclability, with a minimal decrease in the activity over four consecutive recycling operations. The exceptional catalytic performance could be attributed to the smaller size of the AgNPs along with the synergistic effect between AgNPs and their interfacial contact with the (101) facet exposure of TiO2NSs. The Ag-TiO2NSs catalyst demonstrated the potential application for the catalytic reduction of 4-NP in a fixed bed reactor, operating under mild reaction conditions.</t>
  </si>
  <si>
    <t>Viswanathan, Mangalaraja/AAM-6090-2020; KRISHNAMOORTHY, SHANMUGARAJ/IYJ-7427-2023; AEPURU, RADHAMANOHAR/AAT-4645-2020; Ramalinga Viswanathan, Mangalaraja/JOZ-3129-2023; SINGH, DINESH/A-2509-2011; KRISHNAMOORTHY, SHANMUGARAJ/N-6563-2017; Gracia-Pinilla, Miguel Angel/M-7508-2014; Campos, Cristian/D-6926-2016</t>
  </si>
  <si>
    <t>Ramalinga Viswanathan, Mangalaraja/0000-0003-1016-9830; Diaz de Leon, Jorge Noe/0000-0002-5828-8583; SINGH, DINESH/0000-0002-2893-7749; KRISHNAMOORTHY, SHANMUGARAJ/0000-0003-4531-9405; Gracia-Pinilla, Miguel Angel/0000-0002-4716-4817; Campos, Cristian/0000-0001-8592-5384</t>
  </si>
  <si>
    <t>2213-2929</t>
  </si>
  <si>
    <t>2213-3437</t>
  </si>
  <si>
    <t>10.1016/j.jece.2024.112588</t>
  </si>
  <si>
    <t>WOS:001226222400001</t>
  </si>
  <si>
    <t>Soto-Donos, N; Favier, L; Villalobos, SF; Paredes-García, V; Bataille, T; Marco, JF; Hlihor, RM; Le Fur, E; Venegas-Yazigi, D</t>
  </si>
  <si>
    <t>Soto-Donos, Nicolas; Favier, Lidia; Villalobos, Sandra Fuentes; Paredes-Garcia, Veronica; Bataille, Thierry; Marco, Jose F.; Hlihor, Raluca Maria; Le Fur, Eric; Venegas-Yazigi, Diego</t>
  </si>
  <si>
    <t>Lanthanum hydroxychloride/anatase composite and its application for effective UV-light driven oxidation of the emergent water contaminant cetirizine</t>
  </si>
  <si>
    <t>CHEMICAL ENGINEERING RESEARCH &amp; DESIGN</t>
  </si>
  <si>
    <t>This work reports on the successful synthesis of a new composite named TiO2@La(OH)2Cl using a sol-gel and hydrothermal route. This method is considered an inexpensive and environmentally friendly synthetic method to produce materials with controllable size and morphology. A combination of X-Ray powder diffraction, X-Ray photoelectron spectrometry and Scanning Electron Microscopy revealed that the composite is made of micrometric platelets of La(OH)2Cl covered by c.a. 10 nm TiO2 anatase nanoparticles. The activity in photo catalytic reactions was examined through cetirizine degradation under UV-A irradiation. Results of the screening studies confirmed the excellent photocatalytic activity of the as -synthesized composite compared to pure anatase and pure La(OH)2Cl, highlighting the positive role of the synergy between the two solids. The composite was further explored in detail in terms of catalyst load, pollutant concentration, water matrix and mechanism of the reaction. The target molecule was completely removed from the aqueous suspension at 2.5 mg/L of pollutant and 0.2 g/L of catalyst load. Also, reaction mechanism evaluation showed the active role of hydroxyl radicals in the degradation of cetirizine by the TiO2@La(OH)2Cl composite. Additionally, phytotoxicity investigations were performed to study the germination of cress seeds for treated and raw solutions. Data revealed that the degradation reaction products for cetirizine were scarcely toxic compared to the untreated sample confirming the usefulness of the photocatalytic treatment with the TiO2@La(OH)2Cl composite. Lastly, all these data demonstrate the excellent catalytic efficiency of the new synthesized material, opening new ways for its use for future applications for water purification. &amp; COPY; 2023 Institution of Chemical Engineers. Published by Elsevier Ltd. All rights reserved.</t>
  </si>
  <si>
    <t>Paredes-Garcia, Veronica/C-4415-2011; Hlihor, Raluca Maria/ABG-4706-2020; Marco, JF/N-3176-2014; Hlihor, Raluca Maria/I-5228-2016; Venegas-Yazigi, Diego/C-5022-2009</t>
  </si>
  <si>
    <t>Marco, JF/0000-0002-5147-1449; Hlihor, Raluca Maria/0000-0003-2428-3669; Venegas-Yazigi, Diego/0000-0001-7816-2841</t>
  </si>
  <si>
    <t>0263-8762</t>
  </si>
  <si>
    <t>1744-3563</t>
  </si>
  <si>
    <t>10.1016/j.cherd.2023.06.032</t>
  </si>
  <si>
    <t>JUL 2023</t>
  </si>
  <si>
    <t>WOS:001047503200001</t>
  </si>
  <si>
    <t>Sanahuja, I; Fernandez-Alacid, L; Firmino, JP; Reyes-López, FE; Ruiz, A; Vallejos-Vidal, E; Tort, L; Tovar-Ramírez, D; Ibarz, A; Gisbert, E</t>
  </si>
  <si>
    <t>Sanahuja, Ignasi; Fernandez-Alacid, Laura; Firmino, Joana P.; Reyes-Lopez, Felipe E.; Ruiz, Alberto; Vallejos-Vidal, Eva; Tort, Lluis; Tovar-Ramirez, Dariel; Ibarz, Antoni; Gisbert, Enric</t>
  </si>
  <si>
    <t>Dietary Debaryomyces hansenii promotes the integrity and immune response of the skin in gilthead sea bream (Sparus aurata): an interactome study</t>
  </si>
  <si>
    <t>FISH &amp; SHELLFISH IMMUNOLOGY</t>
  </si>
  <si>
    <t>Fernandez-Alacid, Laura/R-4365-2016; Ibarz, Antoni/D-9611-2014; Tort, Lluis/H-5650-2011; Reyes-López, Felipe/S-1760-2018; Tovar-Ramírez, Dariel/AAO-2184-2020; Sanahuja, Ignasi/J-5673-2017; Firmino, Joana/AAX-1575-2021; Gisbert, Enric/I-7224-2019; Vallejos-Vidal, Eva/R-9606-2019</t>
  </si>
  <si>
    <t>Firmino, Joana/0000-0002-7694-0416; Vallejos-Vidal, Eva/0000-0002-3091-2700</t>
  </si>
  <si>
    <t>1050-4648</t>
  </si>
  <si>
    <t>1095-9947</t>
  </si>
  <si>
    <t>P-59</t>
  </si>
  <si>
    <t>WOS:001050952100060</t>
  </si>
  <si>
    <t>Martínez-Velilla, N; Valenzuela, PL; Zambom-Ferraresi, F; de Asteasu, MLS; Ramírez-Vélez, R; García-Hermoso, A; Lucia, A; Izquierdo, M</t>
  </si>
  <si>
    <t>Martinez-Velilla, Nicolas; Valenzuela, Pedro L.; Zambom-Ferraresi, Fabricio; Saez de Asteasu, Mikel L.; Ramirez-Velez, Robinson; Garcia-Hermoso, Antonio; Lucia, Alejandro; Izquierdo, Mikel</t>
  </si>
  <si>
    <t>Tailored exercise is safe and beneficial for acutely hospitalised older adults with COPD</t>
  </si>
  <si>
    <t>EUROPEAN RESPIRATORY JOURNAL</t>
  </si>
  <si>
    <t>García-Hermoso, Antonio/ADU-2591-2022; Asteasu, Mikel/A-8973-2017; Valenzuela, Pedro/O-7601-2019; Zambom-Ferraresi, Fabricio/M-1906-2018; Martinez-Velilla, Nicolas/A-6942-2017; Izquierdo, Mikel/A-4894-2010; Ramirez-Velez, Robinson/D-5311-2016; Garcia-Hermoso, Antonio/P-1857-2017</t>
  </si>
  <si>
    <t>Zambom-Ferraresi, Fabricio/0000-0002-8377-9827; Martinez-Velilla, Nicolas/0000-0001-9576-9960; Izquierdo, Mikel/0000-0002-1506-4272; Ramirez-Velez, Robinson/0000-0003-3075-6960; Garcia-Hermoso, Antonio/0000-0002-1397-7182; Valenzuela Tallon, Pedro Luis/0000-0003-1730-3369; Saez de Asteasu, Mikel Lopez/0000-0002-4111-5045</t>
  </si>
  <si>
    <t>0903-1936</t>
  </si>
  <si>
    <t>1399-3003</t>
  </si>
  <si>
    <t>10.1183/13993003.01048-2020</t>
  </si>
  <si>
    <t>WOS:000620192200013</t>
  </si>
  <si>
    <t>González, EA; Leiva, N; Vejar, N; Sancy, M; Gulppi, M; Azócar, MI; Gomez, G; Tamayo, L; Zhou, X; Thompson, GE; Páez, MA</t>
  </si>
  <si>
    <t>Gonzalez, E. A.; Leiva, N.; Vejar, N.; Sancy, M.; Gulppi, M.; Azocar, M. I.; Gomez, G.; Tamayo, L.; Zhou, X.; Thompson, G. E.; Paez, M. A.</t>
  </si>
  <si>
    <t>Sol-gel coatings doped with encapsulated silver nanoparticles: inhibition of biocorrosion on 2024-T3 aluminum alloy promoted by Pseudomonas aeruginosa</t>
  </si>
  <si>
    <t>Silanol type hybrid polymers modified with silver nanoparticles encapsulated with SiO2 for biocorrosion protection of 2024-T3 aluminum alloy were studied through electrochemical characterization and surface analysis techniques. Two different encapsulated silver nanoparticles were synthesized using tetraethoxysilane as a core shell. The hybrid polymer was prepared by the sol-gel technique by mixing tetraethoxysilane and triethyl(octyl)silane in 1-propanol, followed by the incorporation of silver nanoparticles or encapsulated silver nanoparticles. Relatively uniform coatings were observed by a scanning electron microscopy analysis. Transmission electron microscopy and dynamic light scattering results indicated that the diameter of the silver nanoparticles was around 20 nm, whereas the encapsulated silver nanoparticles presented diameters between 24 and 30 nm. The viability results showed that polymers modified with encapsulated nanoparticles exhibit higher antibacterial properties than the polymer modified with free silver nanoparticles. This fact may be associated with a higher hydrophobicity of the coatings modified with silver encapsulated nanoparticles. Additionally, impedance measurements revealed a protective effect of all synthesized coatings for 2024-T3 aluminum alloy in chloride media inoculated with Pseudomonas aeruginosa. (C) 2019 Brazilian Metallurgical, Materials and Mining Association. Published by Elsevier Editora Ltda.</t>
  </si>
  <si>
    <t>Tamayo, Laura/I-8942-2018; Azocar, Manuel/I-1226-2013; Paez, Maritza/M-2010-2014; Vejar, Nelson/M-7784-2017; Gulppi, Miguel/KTA-6210-2024; Zhou, Xiaorong/M-3600-2014; Sancy, Mamie/L-6270-2014</t>
  </si>
  <si>
    <t>Zhou, Xiaorong/0000-0001-9943-3997; Tamayo, Laura/0000-0003-1159-5305; Gonzalez, Evelyn/0000-0002-5401-0322; paez, maritza/0000-0001-5881-884X; Azocar Guzman, Manuel/0000-0003-1098-4659; Vejar, Nelson/0000-0002-9544-2199; Gulppi, Miguel/0000-0001-6099-4463; Sancy, Mamie/0000-0001-9523-2629</t>
  </si>
  <si>
    <t>10.1016/j.jmrt.2018.12.011</t>
  </si>
  <si>
    <t>WOS:000469405800024</t>
  </si>
  <si>
    <t>Schroll, RD; Adda-Bedia, M; Cerda, E; Huang, J; Menon, N; Russell, TP; Toga, KB; Vella, D; Davidovitch, B</t>
  </si>
  <si>
    <t>Schroll, R. D.; Adda-Bedia, M.; Cerda, E.; Huang, J.; Menon, N.; Russell, T. P.; Toga, K. B.; Vella, D.; Davidovitch, B.</t>
  </si>
  <si>
    <t>Capillary Deformations of Bendable Films</t>
  </si>
  <si>
    <t>PHYSICAL REVIEW LETTERS</t>
  </si>
  <si>
    <t>We address the partial wetting of liquid drops on ultrathin solid sheets resting on a deformable foundation. Considering the membrane limit of sheets that can relax compression through wrinkling at negligible energetic cost, we revisit the classical theory for the contact of liquid drops on solids. Our calculations and experiments show that the liquid-solid-vapor contact angle is modified from the Young angle, even though the elastic bulk modulus (E) of the sheet is so large that the ratio between the surface tension gamma and E is of molecular size. This finding indicates a new elastocapillary phenomenon that stems from the high bendability of very thin elastic sheets rather than from material softness. We also show that the size of the wrinkle pattern that emerges in the sheet is fully predictable, thus resolving a puzzle in modeling drop-on-a-floating-sheet'' experiments and enabling a quantitative, calibration-free use of this setup for the metrology of ultrathin films.</t>
  </si>
  <si>
    <t>Huang, Jiangshui/G-5833-2010; Russell, Thomas/ADL-3689-2022; Vella, Dominic/A-9070-2008; Mokhtar, Adda-Bedia/K-4195-2019</t>
  </si>
  <si>
    <t>Adda-Bedia, Mokhtar/0000-0003-0584-8046; Vella, Dominic/0000-0003-1341-8863</t>
  </si>
  <si>
    <t>0031-9007</t>
  </si>
  <si>
    <t>1079-7114</t>
  </si>
  <si>
    <t>JUL 3</t>
  </si>
  <si>
    <t>10.1103/PhysRevLett.111.014301</t>
  </si>
  <si>
    <t>WOS:000321278300007</t>
  </si>
  <si>
    <t>García-Hermoso, A; Izquierdo, M; Alonso-Martínez, AM; Faigenbaum, A; Olloquequi, J; Ramírez-Vélez, R</t>
  </si>
  <si>
    <t>Garcia-Hermoso, Antonio; Izquierdo, Mikel; Alonso-Martinez, Alicia M.; Faigenbaum, Avery; Olloquequi, Jordi; Ramirez-Velez, Robinson</t>
  </si>
  <si>
    <t>Association between Exercise-Induced Changes in Cardiorespiratory Fitness and Adiposity among Overweight and Obese Youth: A Meta-Analysis and Meta-Regression Analysis</t>
  </si>
  <si>
    <t>The aim of this study was to determine the minimum change in cardiorespiratory fitness (CRF) required to reduce adiposity (percent body fat) in exercise programs for overweight and obese youth. Studies were identified through a systematic search of five databases. Studies were limited to randomized controlled trials (RCTs) of exercise training (e.g., aerobic, strength, concurrent) that assessed percent body fat and CRF for both exercise and control groups in overweight and obese children and adolescents. A series of meta-regressions were conducted to explore links between change in CRF (maximum oxygen consumption, ml/kg/min) and change in percent body fat. Twenty-three RCTs were included (n= 1790, 59% females). Meta-regression analysis suggested that increases of at least 0.38 mL/kg/min in CRF (p&lt; 0.001) were considered to be a clinically important reduction of percent body fat (-2.30%, 95% confidence interval -3.02 to -1.58;p&lt; 0.001;I-2= 92.2%). Subgroup analysis showed that increases of at least 0.17 mL/kg/min in CRF favored a reduction of percent body fat of -1.62% (95% confidence interval -2.04 to -1.20;p&lt; 0.001;I-2= 69.9%). In conclusion, this change in CRF could be considered by pediatric researchers, youth fitness specialists, and health care providers to determine the effectiveness in body fat reductions through exercise.</t>
  </si>
  <si>
    <t>Olloquequi, Jordi/ITR-9680-2023; García-Hermoso, Antonio/ADU-2591-2022; Alonso-Martinez, Alicia M./KYR-7889-2024; Ramirez-Velez, Robinson/D-5311-2016; Izquierdo, Mikel/A-4894-2010; Garcia-Hermoso, Antonio/P-1857-2017</t>
  </si>
  <si>
    <t>Alonso-Martinez, Alicia M./0000-0002-7204-696X; Ramirez-Velez, Robinson/0000-0003-3075-6960; Izquierdo, Mikel/0000-0002-1506-4272; Faigenbaum, Avery/0000-0003-1364-8503; Garcia-Hermoso, Antonio/0000-0002-1397-7182; Olloquequi, Jordi/0000-0002-6492-2739</t>
  </si>
  <si>
    <t>10.3390/children7090147</t>
  </si>
  <si>
    <t>WOS:000578874400001</t>
  </si>
  <si>
    <t>Mohammed, PO; Lizama, C; Lupas, AA; Al-Sarairah, E; Abdelwahed, M</t>
  </si>
  <si>
    <t>Mohammed, Pshtiwan Othman; Lizama, Carlos; Lupas, Alina Alb; Al-Sarairah, Eman; Abdelwahed, Mohamed</t>
  </si>
  <si>
    <t>Maximum and Minimum Results for the Green's Functions in Delta Fractional Difference Settings</t>
  </si>
  <si>
    <t>SYMMETRY-BASEL</t>
  </si>
  <si>
    <t>The present paper is dedicated to the examination of maximum and minimum results based on Green's functions via delta fractional differences for a class of fractional boundary problems. For such a purpose, we built the corresponding Green's functions based on the falling factorial functions. In addition, using the constructed Green's function, the positivity of the function and its corresponding delta function are presented. We also verified the occurrence of two distinct functions with the same Green's function. The maximality and minimality of the Green's function show a good qualitative agreement. Finally, we considered some special examples to explain the obtained results.</t>
  </si>
  <si>
    <t>Abdelwahed, Mohamed/Z-3765-2019; Alb Lupas, Daciana Alina/AEB-6598-2022; Mohammed, Pshtiwan/AAJ-4673-2020; Lizama, Carlos/E-5909-2011</t>
  </si>
  <si>
    <t>Mohammed, Pshtiwan/0000-0001-6837-8075; Daciana Alina, Alb Lupas/0000-0002-2855-7535; Al-Sarairah, Eman/0000-0002-0223-4711; Lizama, Carlos/0000-0002-9807-1100; Abdelwahed, Mohamed/0000-0002-9896-6692</t>
  </si>
  <si>
    <t>2073-8994</t>
  </si>
  <si>
    <t>10.3390/sym16080991</t>
  </si>
  <si>
    <t>WOS:001305061100001</t>
  </si>
  <si>
    <t>Kozlova, S; Morozova, N; Ispolatov, Y; Severinov, K</t>
  </si>
  <si>
    <t>Kozlova, Svetlana; Morozova, Natalia; Ispolatov, Yaroslav; Severinov, Konstantin</t>
  </si>
  <si>
    <t>Dependence of post-segregational killing mediated by Type II restriction-modification systems on the lifetime of restriction endonuclease effective activity</t>
  </si>
  <si>
    <t>MBIO</t>
  </si>
  <si>
    <t>Plasmid-borne Type II restriction-modification (RM) systems mediate post-segregational killing (PSK). PSK is thought to be caused by the dilution of restriction and modification enzymes during cell division, resulting in accumulation of unmethylated DNA recognition sites and their cleavage by restriction endonucleases. PSK is the likely reason for stabilization of plasmids carrying RM systems in the absence of selection for plasmid maintenance. In this study, we developed a CRISPR interference-based method to eliminate RM-carrying plasmids and study PSK-related phenomena with minimal perturbation to the Escherichia coli host. Plasmids carrying the EcoRV, Eco29kI, and EcoRI RM systems were highly stable, and their loss resulted in SOS response and PSK. In contrast, plasmids carrying the Esp1396I system were poorly stabilized; their loss led to a temporary cessation of growth, followed by full recovery. We demonstrate that this unusual behavior is due to a limited lifetime of the Esp1396I restriction endonuclease activity, which, upon Esp1396I plasmid loss, disappears approximately after two cycles of cell division, i.e., before unmethylated sites appear in significant numbers. Our results indicate that whenever PSK induced by a loss of RM systems, and, possibly, other toxin-antitoxin systems, is considered, the lifetimes of individual system components and the growth rate of host cells shall be taken in account. Mathematical modeling shows, that unlike the situation with classical toxin-antitoxin systems, RM system-mediated PSK is possible when the lifetimes of restriction endonuclease and methyltransferase activities are similar, as long as the toxic restriction endonuclease activity persists for more than two chromosome replication cycles.</t>
  </si>
  <si>
    <t>Morozoiva, Natalia/HJA-7971-2022; Ispolatov, Iaroslav/E-8544-2010</t>
  </si>
  <si>
    <t>Ispolatov, Iaroslav/0000-0002-0201-3396; Kozlova, Svetlana/0000-0003-2251-0354</t>
  </si>
  <si>
    <t>2150-7511</t>
  </si>
  <si>
    <t>AUG 14</t>
  </si>
  <si>
    <t>10.1128/mbio.01408-24</t>
  </si>
  <si>
    <t>WOS:001268337500002</t>
  </si>
  <si>
    <t>Khalid, HM; Flitti, F; Mahmoud, MS; Hamdan, MM; Muyeen, SM; Dong, ZY</t>
  </si>
  <si>
    <t>Khalid, Haris M.; Flitti, Farid; Mahmoud, Magdi S.; Hamdan, Mutaz M.; Muyeen, S. M.; Dong, Zhao Yang</t>
  </si>
  <si>
    <t>Wide area monitoring system operations in modern power grids: A median regression function-based state estimation approach towards cyber attacks</t>
  </si>
  <si>
    <t>SUSTAINABLE ENERGY GRIDS &amp; NETWORKS</t>
  </si>
  <si>
    <t>Modern power grid is a generation mix of conventional generation facilities and variable renewable energy resources (VRES). The complexity of such a power grid with generation mix has routed the utilization of infrastructures involving phasor measurement units (PMUs). This is to have access to real-time grid information. However, the traffic of digital information and communication is potentially vulnerable to data-injection and cyber attacks. To address this issue, a median regression function (MRF)-based state estimation is presented in this paper. The algorithm was stationed at each monitoring node using interacting multiple model (IMM)-based fusion architecture. An exogenous variable-driven representation of the state is considered for the system. A mapping function-based initial regression analysis is made to depict the margins of state estimate in the presence of datainjection. A median regression function is built on top of it while generating and evaluating the residuals. The tests were conducted on a revisited New England 39-Bus system with large scale photovoltaic (PV) power plant. The system was affected with multiple system disturbances and severe data-injection attacks. The results show the effectiveness of the proposed MRF method against the mainstream and regression methods. The proposed scheme can accurately estimate the states and evaluate the contaminated measurements while improving the situation awareness of wide area monitoring systems (WAMS) operations in modern power grids (c) 2023 The Author(s). Published by Elsevier Ltd. This is an open access article under the CC BY license (http://creativecommons.org/licenses/by/4.0/).</t>
  </si>
  <si>
    <t>Muyeen, S M/GQA-7738-2022; Hamdan, Mutaz/O-7783-2017; Khalid, Haris M./T-5118-2017</t>
  </si>
  <si>
    <t>Khalid, Haris M./0000-0002-1136-6433; Flitti, Farid/0000-0002-2480-2580</t>
  </si>
  <si>
    <t>2352-4677</t>
  </si>
  <si>
    <t>10.1016/j.segan.2023.101009</t>
  </si>
  <si>
    <t>FEB 2023</t>
  </si>
  <si>
    <t>WOS:001007245500001</t>
  </si>
  <si>
    <t>Marques, A; Henriques-Neto, D; Peralta, M; Marconcin, P; Gouveia, ÉR; Ferrari, G; Martins, J; Ihle, A</t>
  </si>
  <si>
    <t>Marques, Adilson; Henriques-Neto, Duarte; Peralta, Miguel; Marconcin, Priscila; Gouveia, Elvio R.; Ferrari, Gerson; Martins, Joao; Ihle, Andreas</t>
  </si>
  <si>
    <t>Exploring grip strength as a predictor of depression in middle-aged and older adults</t>
  </si>
  <si>
    <t>Grip strength (GS) is an indicator of health and vulnerability and inversely associated with depressive symptoms. The aim of this study was to explore GS discrimination capacity for depression; and possible GS cut-off values for depression by sex and age group. Data from 2011 and 2015 on 20,598 (10,416 women) middle-aged and older adults from 14 European countries was analysed. GS was assessed by dynamometer, and depressive symptoms using the EURO-D scale. GS cut-off values for depression were calculated and logistic regression models were used to quantify the odds of having depression in 2011 and in 2015 according to being bellow or above the cut-off value. GS had a weak discriminant capacity for depression, with the area under the curve varying between 0.54 and 0.60 (p&lt;0.001). Sensitivity varied between 0.57 and 0.74; specificity varied between 0.46 and 0.66. GS cut-off values for discriminating depression were 43.5 kg for men and 29.5 kg for women aged 50-64 years, 39.5 kg for men and 22.5 kg for women aged65 years. Having GS above the cut-off represents significant lower odds of depression in 2011 and 4 years later, in 2015. Healthcare practitioners and epidemiologic researchers may consider the low GS cut-off values to screen for potential depression risk. However, due to its weak discriminant values these cut-offs should not be used to identify depression.</t>
  </si>
  <si>
    <t>Ferrari, Gerson/ABG-6635-2021; Marconcin, Priscila/GRO-2708-2022; Gouveia, Elvio Rubio/F-9156-2015; Ferrari, Gerson/P-1152-2014; Peralta, Miguel/H-1666-2017; Henriques-Neto, Duarte/I-9265-2012; Marques, Adilson/K-4529-2014; Martins, Joao/N-3067-2018</t>
  </si>
  <si>
    <t>Gouveia, Elvio Rubio/0000-0003-0927-692X; Marconcin, Priscila/0000-0002-1295-0826; Ferrari, Gerson/0000-0003-3177-6576; Ihle, Andreas/0000-0001-9845-5190; Peralta, Miguel/0000-0001-6072-6012; Henriques-Neto, Duarte/0000-0003-3780-6545; Marques, Adilson/0000-0001-9850-7771; Martins, Joao/0000-0002-2540-6678</t>
  </si>
  <si>
    <t>10.1038/s41598-021-95566-7</t>
  </si>
  <si>
    <t>WOS:000684439300005</t>
  </si>
  <si>
    <t>Hernández-Cáceres, MP; Cereceda, K; Hernández, S; Li, Y; Narro, C; Rivera, P; Silva, P; Avalos, Y; Jara, C; Burgos, P; Toledo-Valenzuela, L; Lagos, P; Araneda, FC; Perez-Leighton, C; Bertocchi, C; Clegg, DJ; Criollo, A; Tapia-Rojas, C; Burgos, P; Morselli, E</t>
  </si>
  <si>
    <t>Paz Hernandez-Caceres, Maria; Cereceda, Karina; Hernandez, Sergio; Li, Ying; Narro, Carla; Rivera, Patricia; Silva, Patricio; Avalos, Yenniffer; Jara, Claudia; Burgos, Paulina; Toledo-Valenzuela, Lilian; Lagos, Pablo; Cifuentes Araneda, Flavia; Perez-Leighton, Claudio; Bertocchi, Cristina; Clegg, Deborah J.; Criollo, Alfredo; Tapia-Rojas, Cheril; Burgos, Patricia, V; Morselli, Eugenia</t>
  </si>
  <si>
    <t>Palmitic acid reduces the autophagic flux in hypothalamic neurons by impairing autophagosome-lysosome fusion and endolysosomal dynamics</t>
  </si>
  <si>
    <t>MOLECULAR &amp; CELLULAR ONCOLOGY</t>
  </si>
  <si>
    <t>High-fat diet (HFD)-induced obesity is associated with increased cancer risk. Long-term feeding with HFD increases the concentration of the saturated fatty acid palmitic acid (PA) in the hypothalamus. We previously showed that, in hypothalamic neuronal cells, exposure to PA inhibits the autophagic flux, which is the whole autophagic process from the synthesis of the autophagosomes, up to their lysosomal fusion and degradation. However, the mechanism by which PA impairs autophagy in hypothalamic neurons remains unknown. Here, we show that PA-mediated reduction of the autophagic flux is not caused by lysosomal dysfunction, as PA treatment does not impair lysosomal pH or the activity of cathepsin B.Instead, PA dysregulates autophagy by reducing autophagosome-lysosome fusion, which correlates with the swelling of endolysosomal compartments that show areduction in their dynamics. Finally, because lysosomes undergo constant dynamic regulation by the small Rab7 GTPase, we investigated the effect of PA treatment on its activity. Interestingly, we found PA treatment altered the activity of Rab7. Altogether, these results unveil the cellular process by which PA exposure impairs the autophagic flux. As impaired autophagy in hypothalamic neurons promotes obesity, and balanced autophagy is required to inhibit malignant transformation, this could affect tumor initiation, progression, and/or response to therapy of obesity-related cancers.</t>
  </si>
  <si>
    <t>Cereceda, Karina/GQP-1224-2022; Moruno-Manchon, Jose Felix/AAC-5958-2022; Bertocchi, Cristina/GSJ-6994-2022; Criollo, Alfredo/HMP-2062-2023; Li, Yingrui/K-1064-2015</t>
  </si>
  <si>
    <t>Hernandez-Caceres, Maria Paz/0000-0003-2365-9652; Burgos Hitschfeld, Patricia V./0000-0003-4521-7978; Hernandez, Sergio/0000-0001-6136-3161; Tapia Rojas, Cheril/0000-0002-7084-0318; Burgos, Paulina/0000-0002-5646-1119; Jara, Claudia/0000-0001-7478-1143; Avalos, Yenniffer/0000-0002-0450-8552; Bertocchi, Cristina/0000-0003-0907-1318; TOLEDO VALENZUELA, LILIAN/0000-0002-8215-2176; Morselli, Eugenia/0000-0002-7840-8351; Criollo, Alfredo/0000-0002-2737-7751</t>
  </si>
  <si>
    <t>2372-3556</t>
  </si>
  <si>
    <t>SEP 2</t>
  </si>
  <si>
    <t>10.1080/23723556.2020.1789418</t>
  </si>
  <si>
    <t>JUL 2020</t>
  </si>
  <si>
    <t>WOS:000556012400001</t>
  </si>
  <si>
    <t>Ramírez-Vélez, R; Pérez-Sousa, MA; García-Hermoso, A; Zambom-Ferraresi, F; Martínez-Velilla, N; de Asteasu, MLS; Cano-Gutiérrez, CA; Rincón-Pabón, D; Izquierdo, M</t>
  </si>
  <si>
    <t>Ramirez-Velez, Robinson; Perez-Sousa, Miguel Angel; Garcia-Hermoso, Antonio; Zambom-Ferraresi, Fabricio; Martinez-Velilla, Nicolas; Saez de Asteasu, Mikel L.; Cano-Gutierrez, Carlos A.; Rincon-Pabon, David; Izquierdo, Mikel</t>
  </si>
  <si>
    <t>Relative Handgrip Strength Diminishes the Negative Effects of Excess Adiposity on Dependence in Older Adults: A Moderation Analysis</t>
  </si>
  <si>
    <t>The adverse effects of fat mass on functional dependence might be attenuated or worsened, depending on the level of muscular strength. The aim of this study was to determine (i) the detrimental effect of excess adiposity on dependence in activities of daily living (ADL), and (ii) whether relative handgrip strength (HGS) moderates the adverse effect of excess adiposity on dependence, and to provide the threshold of relative HGS from which the adverse effect could be improved or worsened. A total of 4169 participants (69.3 +/- 7.0 years old) from 244 municipalities were selected following a multistage area probability sampling design. Measurements included anthropometric/adiposity markers (weight, height, body mass index, waist circumference, and waist-to-height ratio (WHtR)), HGS, sarcopenia proxy (calf circumference), and ADL (Barthel Index scale). Moderation analyses were performed to identify associations between the independent variable (WHtR) and outcomes (dependence), as well as to determine whether relative HGS moderates the relationship between excess adiposity and dependence. The present study demonstrated that (i) the adverse effect of having a higher WHtR level on dependence in ADL was moderated by relative HGS, and (ii) two moderation thresholds of relative HGS were estimated: 0.35, below which the adverse effect of WHtR levels on dependency is aggravated, and 0.62, above which the adverse effect of fat on dependency could be improved. Because muscular strength represents a critically important and modifiable predictor of ADL, and the increase in adiposity is inherent in aging, our results underscore the importance of an optimal level of relative HGS in the older adult population.</t>
  </si>
  <si>
    <t>Asteasu, Mikel/A-8973-2017; Rincón-Pabón, David/O-4165-2019; García-Hermoso, Antonio/ADU-2591-2022; Perez-Sousa, Miguel/M-5931-2019; Ramirez-Velez, Robinson/D-5311-2016; Zambom-Ferraresi, Fabricio/M-1906-2018; Izquierdo, Mikel/A-4894-2010; Martinez-Velilla, Nicolas/A-6942-2017; Garcia-Hermoso, Antonio/P-1857-2017</t>
  </si>
  <si>
    <t>Ramirez-Velez, Robinson/0000-0003-3075-6960; Zambom-Ferraresi, Fabricio/0000-0002-8377-9827; Izquierdo, Mikel/0000-0002-1506-4272; Saez de Asteasu, Mikel Lopez/0000-0002-4111-5045; Martinez-Velilla, Nicolas/0000-0001-9576-9960; Perez-Sousa, Miguel Angel/0000-0003-4392-6850; Rincon-Pabon, David/0000-0001-9678-2382; Cano-Gutierrez, Carlos/0000-0001-5680-7880; Garcia-Hermoso, Antonio/0000-0002-1397-7182</t>
  </si>
  <si>
    <t>10.3390/jcm9041152</t>
  </si>
  <si>
    <t>WOS:000531821000259</t>
  </si>
  <si>
    <t>Hermosilla-Ibáñez, P; Costamagna, J; Vega, A; Paredes-García, V; Le Fur, E; Spodine, E; Venegas-Yazigi, D</t>
  </si>
  <si>
    <t>Hermosilla-Ibanez, Patricio; Costamagna, Juan; Vega, Andres; Paredes-Garcia, Veronica; Le Fur, Eric; Spodine, Evgenia; Venegas-Yazigi, Diego</t>
  </si>
  <si>
    <t>Coordination interactions in the crystalline lattice of alkaline ions with the polyoxometalate [ V12B18O60H6] 10-ligand</t>
  </si>
  <si>
    <t>JOURNAL OF COORDINATION CHEMISTRY</t>
  </si>
  <si>
    <t>In the present work, the synthesis and structural characterization of two new polyoxovanadoborate (BVO) frameworks, based on the [V12B18O60H6](10-) polyanion, are reported, K(H3O)(enH(2))(4)[V12B18O60H6]9.60H(2)O (1) and Li-8(NH4)(2)[V12B18O60H6]8.02H(2)O (2). Both compounds are obtained in a mixed valence ratio of 10V(IV)/2V(V). Framework 1 is characterized by potassium ions coordinated by the BVO cluster and ethylenediammonium and hydronium ions as charge-compensating agents. In framework 2, the BVO clusters are coordinating lithium ions and the charge is compensated by ammonium ions. Using the SHAPE 2.1 program, it was possible to calculate the best geometry for the existing lithium and potassium ions. For 2, the lithium ions are five-coordinate, best described by a square pyramid (SPY-5), while the coordination sphere around the potassium ions in 1 are six-coordinate. For 1, the coordination sphere of the existing potassium ions in the framework can be described as trigonal prism (TPR-6). Calculations were also done for a previously reported cluster [Na-10[(H2O)V12B18O60H6]18H(2)O] (3), in which the sodium ions are six-coordinate but in two different geometries, these being octahedral and TPR-6. The influence of the interactions of the alkali ions with the [V12B18O60H6](10-) polyanion, on the vanadate and borate absorption bands observed in the infrared spectra, is discussed.</t>
  </si>
  <si>
    <t>Vega, Andres/B-2122-2010; Paredes-Garcia, Veronica/C-4415-2011; Hermosilla-Ibanez, Patricio/Y-7454-2018; Venegas-Yazigi, Diego/C-5022-2009</t>
  </si>
  <si>
    <t>Vega, Andres/0000-0001-6501-4161; Hermosilla-Ibanez, Patricio/0000-0002-2272-9690; Venegas-Yazigi, Diego/0000-0001-7816-2841</t>
  </si>
  <si>
    <t>0095-8972</t>
  </si>
  <si>
    <t>1029-0389</t>
  </si>
  <si>
    <t>23-24</t>
  </si>
  <si>
    <t>10.1080/00958972.2014.960407</t>
  </si>
  <si>
    <t>WOS:000345454600016</t>
  </si>
  <si>
    <t>Saona, LA; Oporto, C; Villarreal, P; Urbina, K; Correa, C; Quintero-Galvis, JF; Moreno-Meynard, P; Piper, F; Vianna, JA; Nespolo, RF; Cubillos, FA</t>
  </si>
  <si>
    <t>Saona, Luis A.; Oporto, Christian, I; Villarreal, Pablo; Urbina, Kamila; Correa, Cristian; Quintero-Galvis, Julian F.; Moreno-Meynard, Paulo; Piper, Frida, I; Vianna, Juliana A.; Nespolo, Roberto F.; Cubillos, Francisco A.</t>
  </si>
  <si>
    <t>High ectomycorrhizal relative abundance during winter at the treeline</t>
  </si>
  <si>
    <t>ISME COMMUNICATIONS</t>
  </si>
  <si>
    <t>The rhizosphere is the soil region around plant roots hosting a diverse microbial community, influencing nutrient availability and how plants react to extreme conditions. However, our understanding of the fungi biodiversity and the impact of environmental variations on this biodiversity is still in its infancy. Our study investigates fungal communities' diversity and functional traits in the rhizosphere of Nothofagus pumilio, one of the few winters deciduous treeline species in the world, forming the treeline in southern South America. At four distinct locations covering 10 degrees latitude, we collected soil samples at treeline and 200 m below over four seasons during a single year. We employed ITS metabarcoding to elucidate fungal community structures. Our results reveal that fungal diversity was mainly determined by latitudinal variation, with higher levels during warmer seasons and lower altitudes. Interestingly, we found a marked dominance of ectomycorrhizal fungi at the treeline, particularly during the winter. In contrast, saprotrophic fungi were more abundant at lower altitudes, particularly during the warmer spring and summer seasons. These findings highlight the temporal and spatial dynamics of rhizospheric fungal communities and their potential roles in ecological processes, emphasizing the value of these communities as indicators of environmental change in high-elevation forests.</t>
  </si>
  <si>
    <t>Cubillos, Francisco/MIT-2389-2025; Vianna, Juliana/E-9847-2015; Saona, Luis A./AFY-6283-2022; Nespolo, Roberto/D-5601-2015; Quintero-Galvis, Julian/D-5226-2017; Cubillos, Francisco/G-5195-2019</t>
  </si>
  <si>
    <t>Cubillos, Francisco/0000-0003-3022-469X; Moreno-Meynard, Paulo/0000-0003-0289-8187</t>
  </si>
  <si>
    <t>2730-6151</t>
  </si>
  <si>
    <t>FEB 12</t>
  </si>
  <si>
    <t>ycaf010</t>
  </si>
  <si>
    <t>10.1093/ismeco/ycaf010</t>
  </si>
  <si>
    <t>WOS:001418253800001</t>
  </si>
  <si>
    <t>Kumar, C; Shrivastav, M; Escrig, J; Palma, JL; Yadav, RP; Silva, H; Zarate, A</t>
  </si>
  <si>
    <t>Kumar, Chandra; Shrivastav, Monika; Escrig, Juan; Palma, Juan Luis; Yadav, R. P.; Silva, Hector; Zarate, Antonio</t>
  </si>
  <si>
    <t>The correlation between surface scaling behavior and optical properties of NiO thin films nanostructures: An investigation based on fractal concepts</t>
  </si>
  <si>
    <t>Here, we report room temperature deposition of nickel oxide (NiO) thin films on silicon and glass substrates by direct current (dc) magnetron sputtering using a metallic nickel target. The effect of sputtering power (20 W, 25 W, and 30 W) on the thin films, their surface scaling, fractal dimension, and optical properties are extensively investigated. Autocorrelation and height-height correlation functions were applied to AFM images to extract deep insights about the thin films' surfaces. Fractal dimension (Df) was extracted through the power spectral density (PSD) function. Various scaling exponents, including alpha, beta, and 1/z, of the NiO film's surface were independently observed. The local roughness exponent, alpha, was approximately 0.81 for films deposited with 20 W sputtering power and decreased to 0.71 with higher sputtering power. The interface width (sigma) scales with sputtering power (Sp) as Sp beta, with a growth exponent (beta) value of 1.17. The lateral correlation length (xi) follows as Sp 1/z with a 1/z value of 0.703. Additionally, optical parameters were recorded through UV-Vis. optical spectroscopy, and an attempt was made to correlate them with fractal parameters (Df &amp; alpha). Optical absorption (reflection) increased (decreased) with increasing Df values. The minimum (maximum) reflection (absorption) was observed on the roughest surface (Df = 2.29). The calculated band gap decreased with increasing fractal dimension. This investigation suggests that sputtered surfaces with minimal reflectivity, band gap, and enhanced light-absorbing capacity could potentially be used as active solar layers for advanced optoelectronic devices.</t>
  </si>
  <si>
    <t>Palma, Juan/IAP-4554-2023; Escrig, Juan/N-4304-2015</t>
  </si>
  <si>
    <t>A</t>
  </si>
  <si>
    <t>10.1016/j.ceramint.2024.08.011</t>
  </si>
  <si>
    <t>WOS:001328253900001</t>
  </si>
  <si>
    <t>Selvaraj, J; Chandrasekaran, K; Tamilarasan, AK; Gheisari, M; Fernández-Campusano, C; Liu, Y; Khodabakhshi-Javinani, N</t>
  </si>
  <si>
    <t>Selvaraj, Jaisiva; Chandrasekaran, Kumar; Tamilarasan, Ananth Kumar; Gheisari, Mehdi; Fernandez-Campusano, Christian; Liu, Yang; Khodabakhshi-Javinani, Naser</t>
  </si>
  <si>
    <t>Design of advanced Aalborg inverter for extracting maximum power from renewable energy sources tied with autonomous grid system</t>
  </si>
  <si>
    <t>IET POWER ELECTRONICS</t>
  </si>
  <si>
    <t>Owing to increased energy demand, renewable energy sources have recently reached greater heights in the power industry. In this regard, integrating renewable energy with the power grid system has become essential in meeting consumer's energy demands. The novelty in this article is the design of an advanced Aalborg inverter with a reduced number of switches which results in enhanced system performance by reducing the switching losses. Integrating renewable energy sources with the power grid network has gained massive importance in supplying electric power to consumers. Integrating the power grid with renewable energy has become possible with the implementation of grid tie inverters. The only drawback in implementing renewable energy sources with the power grid is that the output of the resources varies from time to time in nature. Voltage Source Inverter-based grid system requires two or three-stage inverters for interfacing power units to transfer DC energy into the power grid network. To reduce the switching frequency across the system, many new excellent inverters have been designed to ensure the healthy operation of the system operating at a higher frequency. This article has been coined with the investigation of a novel buck and boosts converter-based inverter operation named Aalborg inverter. The inverter operates at a higher frequency and minimum voltage drop across the inductor, where only one power stage has been implied to enhance the system's reliability and efficiency. This novel Aalborg inverter is applied and investigated for photovoltaic application.</t>
  </si>
  <si>
    <t>Fernández-Campusano, Christian/M-8749-2018; C, Kumar/IAM-5438-2023; Gheisari, Mehdi/Y-4681-2018; Liu, Yang/D-2306-2013; Khodabakhshi-Javinani, Naser/AAO-9393-2021; Selvaraj, Jaisiva/ABB-3773-2022; Tamilarasan, Ananth Kumar/B-7938-2013</t>
  </si>
  <si>
    <t>Gheisari, Mehdi/0000-0002-5643-0021; Fernandez-Campusano, Christian/0000-0001-7033-4178; Tamilarasan, Ananth Kumar/0000-0002-0494-7803; Liu, Yang/0000-0003-2486-5765</t>
  </si>
  <si>
    <t>1755-4535</t>
  </si>
  <si>
    <t>1755-4543</t>
  </si>
  <si>
    <t>10.1049/pel2.12458</t>
  </si>
  <si>
    <t>WOS:000932204700001</t>
  </si>
  <si>
    <t>Cerda-Kohler, H; Haichelis, D; Reuquen, P; Miarka, B; Homer, M; Zapata-Gomez, D; Aedo-Munoz, E</t>
  </si>
  <si>
    <t>Cerda-Kohler, Hugo; Haichelis, Danni; Reuquen, Patricia; Miarka, Bianca; Homer, Mark; Zapata-Gomez, Daniel; Aedo-Munoz, Esteban</t>
  </si>
  <si>
    <t>Training at moderate altitude improves submaximal but not maximal performance-related parameters in elite rowers</t>
  </si>
  <si>
    <t>Maximal oxygen consumption (V?O-2max), physiological thresholds, and hemoglobin mass are strong predictors of endurance performance. High values of V?O-2max, maximal aerobic power (MAP), and power output at anaerobic thresholds are key variables in elite rowers. Endurance athletes often use altitude training as a strategy to improve performance. However, no clear evidence exists that training at natural altitude enhances sea-level performance in elite rowers. This study aimed to evaluate the effect of altitude training on rowing-performance parameters at sea level. The study was conducted on eleven rowers (Six females, five males) from the Chilean National Team during a 3-week moderate altitude training (&amp; SIM;2,900 m. a.s.l.) under the live high-train high (LHTH) model. It included a rowing ergometer maximal incremental test and blood analysis (pre and post-altitude). Gas exchange analysis was performed to measure V?O-2max, ventilatory thresholds (VTs) and rowing economy/efficiency (ECR/GE%). LHTL training improves performance-related variables at sea level (V?E-max: 3.3% (95% CI, 1.2-5.5); hemoglobin concentration ([Hb]): 4.3% (95% CI, 1.7-6.9); hematocrit (%): 4.5% (95% CI, 0.9-8.2); RBC (red blood cells) count: 5.3% (95% CI, 2.3-8.2); power at VT2: 6.9% (95% CI, 1.7-12.1), V?E-VT2: 6.4% (95% CI, 0.4-12.4); power at VT1: 7.3% (95% CI, 1.3-13.3), V?E-VT1: 8.7% (95% CI, 1.6-15.8)) and economy/efficiency-related variables (ECRVT2: 5.3% (95% CI, -0.6 to -10.0); GE(%): 5.8% (95% CI, 0.8-10.7)). The LHTH training decreased breathing economy at MAP (-2.8% (95% CI, 0.1-5.6)), pVT2 (-9.3% (95% CI, -5.9 to -12.7)), and pVT1 (-9.3% (95% CI, -4.1 to -14.4)). Non-significant changes were found for V?O-2max and MAP. This study describes the effects of a 3-week moderate altitude (LHTH training) on performance and economy/efficiency-related variables in elite rowers, suggesting that it is an excellent option to induce positive adaptations related to endurance performance.</t>
  </si>
  <si>
    <t>Miarka, Bianca/V-7395-2017; Aedo-Muñoz, Esteban/R-5623-2019</t>
  </si>
  <si>
    <t>Aedo-Munoz, Esteban/0000-0003-1544-2824</t>
  </si>
  <si>
    <t>OCT 14</t>
  </si>
  <si>
    <t>10.3389/fphys.2022.931325</t>
  </si>
  <si>
    <t>WOS:000877829300001</t>
  </si>
  <si>
    <t>Becerra, L; Reisenegger, A; Valdivia, JA; Gusakov, ME</t>
  </si>
  <si>
    <t>Becerra, Laura; Reisenegger, Andreas; Alejandro Valdivia, Juan; Gusakov, Mikhail E.</t>
  </si>
  <si>
    <t>Evolution of random initial magnetic fields in stably stratified and barotropic stars</t>
  </si>
  <si>
    <t>Long-lived magnetic fields are known to exist in upper main-sequence stars, white dwarfs, and neutron stars. In order to explore possible equilibrium configurations of the magnetic field inside these stars, we have performed 3D magnetohydrodynamic simulations of the evolution of initially random magnetic fields in stably stratified and barotropic stars with an ideal-gas equation of state using the pencil code, a high-order finite-difference code for compressible hydrodynamic flows in the presence of magnetic fields. In barotropic (isentropic) stars, we confirm previous results in the sense that all initial magnetic fields we tried decay away, unable to reach a stable equilibrium. In the case of stably stratified stars (with radially increasing specific entropy), initially random magnetic fields appear to always evolve to a stable equilibrium. However, the nature of this equilibrium depends on the dissipation mechanisms considered. If magnetic diffusivity (or hyper-diffusivity) is included, the final state is more axially symmetric and dominated by large wavelengths than the initial state, whereas this is not the case if only viscosity (or hyper-viscosity) is present. In real stars, the main mechanism allowing them to relax to equilibrium is likely to be phase mixing, which we argue is more closely mimicked by viscosity. Therefore, we conclude that, depending on its formation mechanism, the equilibrium magnetic field in these stars could in principle be very asymmetric.</t>
  </si>
  <si>
    <t>Valdivia, Juan/A-3631-2008; Becerra Bayona, Laura/AAB-3532-2022; Gusakov, Mikhail/R-8146-2016; Reisenegger, Andreas/ABF-8997-2020</t>
  </si>
  <si>
    <t>Reisenegger, Andreas/0000-0003-4059-6796; Valdivia, Juan Alejandro/0000-0003-3381-9904; BECERRA BAYONA, LAURA MARCELA/0000-0002-3262-5545</t>
  </si>
  <si>
    <t>FEB 2</t>
  </si>
  <si>
    <t>10.1093/mnras/stac102</t>
  </si>
  <si>
    <t>WOS:000770033800019</t>
  </si>
  <si>
    <t>Ramírez, D; Concha, G; Arévalo, B; Prent-Peñaloza, L; Zúñiga, L; Kiper, AK; Rinné, S; Reyes-Parada, M; Decher, N; González, W; Caballero, J</t>
  </si>
  <si>
    <t>Ramirez, David; Concha, Guierdy; Arevalo, Barbara; Prent-Penaloza, Luis; Zuniga, Leandro; Kiper, Aytug K.; Rinne, Susanne; Reyes-Parada, Miguel; Decher, Niels; Gonzalez, Wendy; Caballero, Julio</t>
  </si>
  <si>
    <t>Discovery of Novel TASK-3 Channel Blockers Using a Pharmacophore-Based Virtual Screening</t>
  </si>
  <si>
    <t>TASK-3 is a two-pore domain potassium (K-2P) channel highly expressed in the hippocampus, cerebellum, and cortex. TASK-3 has been identified as an oncogenic potassium channel and it is overexpressed in different cancer types. For this reason, the development of new TASK-3 blockers could influence the pharmacological treatment of cancer and several neurological conditions. In the present work, we searched for novel TASK-3 blockers by using a virtual screening protocol that includes pharmacophore modeling, molecular docking, and free energy calculations. With this protocol, 19 potential TASK-3 blockers were identified. These molecules were tested in TASK-3 using patch clamp, and one blocker (DR16) was identified with an IC50 = 56.8 +/- 3.9 mu M. Using DR16 as a scaffold, we designed DR16.1, a novel TASK-3 inhibitor, with an IC50 = 14.2 +/- 3.4 mu M. Our finding takes on greater relevance considering that not many inhibitory TASK-3 modulators have been reported in the scientific literature until today. These two novel TASK-3 channel inhibitors (DR16 and DR16.1) are the first compounds found using a pharmacophore-based virtual screening and rational drug design protocol.</t>
  </si>
  <si>
    <t>Prent, Luis/GSI-5349-2022; Decher, Niels/AAF-5002-2020; Rinné, Susanne/E-2726-2019; Ramirez, David/HRE-0888-2023; Kiper, Aytug Kadir/N-2340-2018; Ramirez, David/Q-9537-2018; Caballero, Julio/G-3654-2014</t>
  </si>
  <si>
    <t>Gonzalez, Wendy/0000-0002-7535-6883; Kiper, Aytug Kadir/0000-0003-2850-2523; Ramirez, David/0000-0003-0002-1189; Prent, Luis/0000-0003-0553-4207; Decher, Niels/0000-0002-9433-687X; Caballero, Julio/0000-0003-0182-1444</t>
  </si>
  <si>
    <t>1661-6596</t>
  </si>
  <si>
    <t>AUG 2</t>
  </si>
  <si>
    <t>10.3390/ijms20164014</t>
  </si>
  <si>
    <t>WOS:000484411100171</t>
  </si>
  <si>
    <t>Gatto, E; Rodríguez-Violante, M; Cosentino, C; Chana-Cuevas, P; Miranda, M; Gallin, E; Etcheverry, JL; Nuñez, Y; Parisi, V; Persi, G; Vecchi, C; Sanguinetti, A; Alleva, A; Aparcana, J; Torres, L; Litvan, I</t>
  </si>
  <si>
    <t>Gatto, Emilia; Rodriguez-Violante, Mayela; Cosentino, Carlos; Chana-Cuevas, Pedro; Miranda, Marcelo; Gallin, Ellin; Etcheverry, Jose L.; Nunez, Yesenia; Parisi, Virginia; Persi, Gabriel; Vecchi, Celeste; Sanguinetti, Ana; Alleva, Alejandro; Aparcana, Juliana; Torres, Luis; Litvan, Irene</t>
  </si>
  <si>
    <t>Pan-American Consortium of Multiple System Atrophy (PANMSA). A Pan-American multicentre cohort study of Multiple System Atrophy</t>
  </si>
  <si>
    <t>JOURNAL OF PARKINSONS DISEASE</t>
  </si>
  <si>
    <t>Background: Multiple system atrophy (MSA) is an adult-onset and rapidly progressive, neurodegenerative condition that presents with autonomic dysfunction, parkinsonism, cerebellar ataxia and corticospinal deficits. Clinical, demographic and epidemiological data from different regions have provided valuable information concerning the natural history of MSA. There are no published data of Multiple System Atrophy (MSA) in Latin American countries. Objective: To describe clinical and epidemiological data of patients with possible MSA from seven referral movement disorders centers from Argentina, Chile, Mexico, Peru and United States. Methods: We conducted a retrospective, observational, cross-sectional Pan-American multicentre cohort study of MSA. Results: The sample was composed of 82 females and 77 men with the diagnosis of possible MSA with a mean age at onset of 65 +/- 10 years. 67.29% of the individuals had a MSA-P variant with a mean age at onset of 61.47 +/- 10.28 years, whereas the mean age at onset in the MSA-C patients was 57.44 +/- 10.58 years. Interestingly, MSA-C-was more prevalent in Non-Caucasian (50-Mestizo and 2 Asian patients) than Caucasians (51.92% vs. 20.79%, p = 0.0001). Dysautonomic symptoms were present in 95.6% of the patients, parkinsonism in 85.5%, pyramidal signs in 25.8% and depression in 48.4% of the patients. Conclusions: Our epidemiological and clinical data appears to be similar to other Western international series, however, of note, the MSA-C phenotype was predominant in Non-Caucasians, more specifically the Mestizo population. This observation opens a new path to explore. Larger prospective epidemiologic studies in Latin America may provide valuable information concerning MSA in the region.</t>
  </si>
  <si>
    <t>Torres, Luis/K-5903-2019; Chana-Cuevas, Pedro/AAM-8215-2020; Litvan, Irene/X-9319-2018; Rodriguez-Violante, Mayela/G-7056-2015</t>
  </si>
  <si>
    <t>Litvan, Irene/0000-0002-3485-3445; Rodriguez-Violante, Mayela/0000-0002-6041-9941; NUNEZ CORONADO, YESENIA/0009-0004-9462-4195; Torres, Luis/0000-0002-1958-585X; Miranda, Marcelo/0009-0001-0974-4757</t>
  </si>
  <si>
    <t>1877-7171</t>
  </si>
  <si>
    <t>1877-718X</t>
  </si>
  <si>
    <t>10.3233/JPD-140434</t>
  </si>
  <si>
    <t>WOS:000345855800020</t>
  </si>
  <si>
    <t>Aguirre, PA; Lagos, CA; Moya, SA; Zúñiga, E; Vera-Oyarce, C; Sola, E; Peris, G; Bayón, JC</t>
  </si>
  <si>
    <t>Aguirre, Pedro A.; Lagos, Carolina A.; Moya, Sergio A.; Zuniga, Esar; Vera-Oyarce, Cristian; Sola, Eduardo; Peris, Gabriel; Carles Bayon, J.</t>
  </si>
  <si>
    <t>Methoxycarbonylation of olefins catalyzed by palladium complexes bearing P,N-donor ligands</t>
  </si>
  <si>
    <t>The methoxycarbonylation of alkenes catalyzed by palladium(II) complexes with P, N-donor ligands, 2-(diphenylphosphinoamino)pyridine (Ph(2)PNHpy), 2-[(diphenylphosphino)methyl]pyridine (Ph(2)PCH(2)py), and 2-(diphenylphosphino)quinoline (Ph(2)Pqn) has been investigated. The results show that the complex [PdCl(PPh3)(Ph(2)PNHpy)]Cl or an equimolar mixture of [PdCl2(Ph(2)PNHpy)] and PPh3, in the presence of p-toluensulfonic acid (TsOH), is an efficient catalyst for this reaction. This catalytic system promotes the conversion of styrene into methyl 2-phenylpropanoate and methyl 3-phenylpropanoate with nearly complete chemoselectivity, 98% regioselectivity in the branched isomer, and high turnover frequency, even at alkene/Pd molar ratios of 1000. Best results were obtained in toluene-MeOH (3 : 1) solvent. The Pd/Ph(2)PNHpy catalyst is also efficient in the methoxycarbonylation of cyclohexene and 1-hexene, although with lower rates than with styrene. Related palladium complexes [PdCl(PPh3)L]Cl (L = Ph(2)PCH(2)py and Ph(2)Pqn) show lower activity in the methoxycarbonylation of styrene than that of the 2-(diphenylphosphinoamino)pyridine ligand. Replacement of the last ligand by (diphenylphosphino)phenylamine (Ph2PNHPh) or 2-(diphenylphosphinoaminomethyl)pyridine (Ph(2)PNMepy) also reduces significantly the activity of the catalyst, indicating that both the presence of the pyridine fragment as well as the NH group, are required to achieve a high performing catalyst. Isotopic labeling experiments using MeOD are consistent with a hydride mechanism for the [PdCl(PPh3)(Ph(2)PNHpy)]Cl catalyst.</t>
  </si>
  <si>
    <t>Moya, Sergio/I-1446-2015; SOLA, EDUARDO/H-2788-2014</t>
  </si>
  <si>
    <t>Vera Oyarce, Cristian/0000-0001-9972-8904; SOLA, EDUARDO/0000-0001-5462-6189; Zuniga, Cesar/0009-0004-8736-6861</t>
  </si>
  <si>
    <t>10.1039/b704615b</t>
  </si>
  <si>
    <t>WOS:000251120300009</t>
  </si>
  <si>
    <t>Caruso, F; Massa, L; Gindulyte, A; Pettinari, C; Marchetti, F; Pettinari, R; Ricciutelli, M; Costamagna, J; Canales, JC; Tanski, J; Rossi, M</t>
  </si>
  <si>
    <t>(4-acyl-5-pyrazolonato)titanium derivatives: Oligomerization, hydrolysis, voltammetry, and DFT study</t>
  </si>
  <si>
    <t>EUROPEAN JOURNAL OF INORGANIC CHEMISTRY</t>
  </si>
  <si>
    <t>Twenty 4-acyl-5-pyrazolonato (Q) titanium derivatives of varied nuclearity have been synthesized from Ti(OR)(4) or TiCl4 and characterized with spectroscopic methods (IR, NMR, ESI-MS). While Ti-(beta-diketonato) cleavage is not seen in isolated solids, Ti-O(alkoxy) (or Ti-Cl) bonds cleave upon hydrolysis, leading to several structural forms, including oligomers. Ionic Q species with no Ti, i.e., obtained after Ti-Q cleavage, are seen for some Ti-Q derivatives by ESI-MS, which also indicates a varied nuclearity for a given species, e.g., the isolated polynuclear [Q(2)Ti-mu-O](n) has several n values. Mononuclear Ti complexes are obtained under rigorous anhydrous conditions. The cis structures of the mononuclear species (Q(T))(2)Ti(OCH3)(2), Q(T) = 3-methyl-4-(neopentylcarbonyl)-1-phenylpyrazol-5-onato have been analyzed with DFT methods. A trans influence is a major driving force that accounts for several sets of Ti-O bonds. One of the cis stereoisomers is 56 kcal/mol higher in energy than the other two. In contrast, all (Q(T))(2)TiCl2 cis isomers show similar energies. Voltammetry of the mononuclear species (Q(T))(2)Ti(OnPr)(2) and the antitumor tetranuclear compound [(Q(B))(2)Ti-mu-O](4), (Q(B) = 4-benzoyl-3-methyl-1-phenylpyrazol-5-onato) indicate that the Ti-IV is less prone to reduction to Ti-III in the latter (Ep(c) for the Ti-IV/Ti-III couple is -1.71 V and -1,46 V versus Fc(+)/Fc, respectively). Potential antitumor compounds having a Ti/Q ratio of 1:1 do not disproportionate, unlike the equivalent acetylacetonato derivatives, and are water-soluble.</t>
  </si>
  <si>
    <t>Tanski, Joseph/LGY-4353-2024; rossi, massimo/C-8411-2012; Marchetti, Fabio/B-7342-2015</t>
  </si>
  <si>
    <t>RICCIUTELLI, MASSIMO/0000-0002-4782-7350; Pettinari, Riccardo/0000-0002-6313-4431; Rossi, Miriam/0000-0001-9609-474X; Tanski, Joseph/0000-0002-7496-1299; Pettinari, Claudio/0000-0002-2547-7206; Marchetti, Fabio/0000-0001-5981-930X; Canales Villalobos, Juan Carlos/0009-0006-3215-4997</t>
  </si>
  <si>
    <t>1434-1948</t>
  </si>
  <si>
    <t>1099-0682</t>
  </si>
  <si>
    <t>SEP 5</t>
  </si>
  <si>
    <t>10.1002/ejic.200300135</t>
  </si>
  <si>
    <t>WOS:000185327500019</t>
  </si>
  <si>
    <t>Burgos-Ayala, A; Jiménez-Aceituno, A; Meacham, M; Rozas-Vasquez, D; García, MM; Rocha, J; Rincón-Ruíz, A</t>
  </si>
  <si>
    <t>Burgos-Ayala, Aracely; Jimenez-Aceituno, Amanda; Meacham, Megan; Rozas-Vasquez, Daniel; Garcia, Maria Mancilla; Rocha, Juan; Rincon-Ruiz, Alexander</t>
  </si>
  <si>
    <t>Mapping ecosystem services in Colombia: Analysis of synergies, trade-offs and bundles in environmental management</t>
  </si>
  <si>
    <t>ECOSYSTEM SERVICES</t>
  </si>
  <si>
    <t>Ecosystem services (ES) have gained significant attention in recent years from the global environmental initiatives that involve science and policy. Multiple scholars have analyzed how ES are integrated with environmental policies, plans, and strategic assessments. However, there is a lack of information on how countries translate these policies, plans and assessments into concrete environmental management actions that integrate an explicit ES approach. To help fill this gap, we analyze how the Colombian Regional Autonomous Corporations (CARs) have used the ES approach in their environmental management projects implemented between 2004 and 2015. This study aims to analyze the type and diversity of ES managed by the CARs, as well as the synergies, trade-offs, and bundles of ES prioritized by them. We used content analysis of the CARs reports and statistical analysis to explore whether CARs explicitly use the ES concept. Our results showed that provisioning, regulating, and cultural ES were similarly prioritized by the CARs, however, explicit mention of ES was limited. Regulating services showed remarkable potential for synergies, and there was a pattern of trade-offs between cultural and some regulating and provisioning services. We found three bundles of ES: Restoration and conservation of agrosystems, Mosaic of services and Farming and fibers occupying, respectively, 9, 36 and 55% of the total area of Colombia. Our findings show that multiple ES are targeted and affected by environmental management actions. The contribution of this study has the potential to inform adequately policy decisions to be used in environmental management and planning practices to prioritize areas for maximizing ES provision.</t>
  </si>
  <si>
    <t>Burgos, Aracely/AAU-4215-2020; Mancilla Garcia, Maria/AAC-6211-2020; Rocha, Juan Carlos/T-8188-2017</t>
  </si>
  <si>
    <t>Burgos Ayala, Aracely/0000-0002-1799-5791; Rocha, Juan Carlos/0000-0003-2322-5459; Jimenez Aceituno, Amanda/0000-0002-5950-4751; Meacham, Megan/0000-0003-3626-967X</t>
  </si>
  <si>
    <t>2212-0416</t>
  </si>
  <si>
    <t>10.1016/j.ecoser.2024.101608</t>
  </si>
  <si>
    <t>WOS:001203686600001</t>
  </si>
  <si>
    <t>Arunachalam, KP; Avudaiappan, S; Flores, EIS; Parra, PF</t>
  </si>
  <si>
    <t>Arunachalam, Krishna Prakash; Avudaiappan, Siva; Flores, Erick I. Saavedra; Parra, Pablo Fernando</t>
  </si>
  <si>
    <t>Experimental Study on the Mechanical Properties and Microstructures of Cenosphere Concrete</t>
  </si>
  <si>
    <t>The most valuable components of coal fly ash are cenospheres. Cenospheres are hollow spherical particles produced during the coal-burning processes. As a result of their excellent characteristics, such as high workability, high heat resistance, low bulk density, and high strength, cenospheres can be used in the manufacturing of lightweight cement concrete. The research efforts and outcomes are to produce long-lasting cement-based lightweight concrete (LWC) composites with good mechanical properties. The novelty of this investigation is to determine the cement concrete strength when silica fume (SF) and cenospheres (CS) were used as a replacement for cement. Throughout the experiments, a consistent substitution of 12% silica fume was incorporated into cement mass. Silica is used as a micro filler and pozzolanic reactant to strengthen concrete. The concrete mixtures were tested to ensure they met the requirements of the lightweight concrete in terms of their mechanical, physical, and durability qualities. According to the findings, lightweight concrete standards were met, and environmental sustainability was improved with the use of these mix proportions. Concrete specimen's self-weight decreases by 35% with 30% cenosphere as a replacement. The micrograph shows the lack of portlandite is filled by mullite and other alumino silicates from the cenosphere. In order to achieve sustainability in concrete manufacturing, these mixtures can be suggested for the making of structural LWC that makes use of a large volume of industrial waste while conserving cement and natural resources.</t>
  </si>
  <si>
    <t>Avudaiappan, Siva/AAV-7579-2021; Parra, Pablo/KIA-8461-2024; ARUNACHALAM, Dr.KRISHNA PRAKASH/AEW-6862-2022</t>
  </si>
  <si>
    <t>AVUDAIAPPAN, SIVA/0000-0002-4289-4298; Parra, Pablo F./0000-0001-5671-6903; ARUNACHALAM, Dr.KRISHNA PRAKASH/0000-0002-5151-2474</t>
  </si>
  <si>
    <t>10.3390/ma16093518</t>
  </si>
  <si>
    <t>WOS:000987307200001</t>
  </si>
  <si>
    <t>Cervetto, S; Birba, A; Pérez, G; Amoruso, L; García, AM</t>
  </si>
  <si>
    <t>Cervetto, Sabrina; Birba, Agustina; Perez, Gonzalo; Amoruso, Lucia; Garcia, Adolfo M.</t>
  </si>
  <si>
    <t>Body into Narrative: Behavioral and Neurophysiological Signatures of Action Text Processing After Ecological Motor Training</t>
  </si>
  <si>
    <t>NEUROSCIENCE</t>
  </si>
  <si>
    <t>cognition research indicates that sensorimotor training can influence action concept processing. Yet, most studies employ isolated (pseudo)randomized stimuli and require repetitive single-effector responses, thus lacking ecological validity. Moreover, the neural signatures of these effects remain poorly understood. Here, we examined whether immersive bodily training can modulate behavioral and functional connectivity correlates of action-verb processing in naturalistic narratives. The study involved three phases. First, in the Pretraining phase, 32 healthy persons listened to an action text (rich in movement descriptions) and a non-action text (focused on its characters' perceptual and mental processes), completed comprehension questionnaires, and underwent resting-state electroencephalogram (EEG) recordings. Second, in the four-day Training phase, half the participants completed an exergaming intervention (eliciting full-body movements for 60 min a day) while the remaining half played static videogames (requiring no bodily engagement other than button presses). Finally, in the Post-training phase, all participants repeated the Pre-training protocol with different action and non-action texts and a new EEG session. We found that exergaming selectively reduced action-verb outcomes and frontoposterior functional connectivity in the motor-sensitive - 10-20 Hz range, both patterns being positively correlated. Conversely, static videogame playing yielded no specific effect on any linguistic category and did not modulate functional connectivity. Together, these findings suggest that action-verb processing and key neural correlates can be focally influenced by full-body motor training in a highly ecological setting. Our study illuminates the role of situated experience and sensorimotor circuits in action-concept processing, addressing calls for naturalistic insights on language embodiment.(c) 2022 IBRO. Published by Elsevier Ltd. All rights reserved.</t>
  </si>
  <si>
    <t>Amoruso, Lucía/P-6949-2019; García, Adolfo/E-7150-2017; Birba, Agustina/AFR-3037-2022</t>
  </si>
  <si>
    <t>Amoruso, Lucia/0000-0003-4696-2187; Birba, Agustina/0000-0001-5998-6634</t>
  </si>
  <si>
    <t>0306-4522</t>
  </si>
  <si>
    <t>1873-7544</t>
  </si>
  <si>
    <t>10.1016/j.neuroscience.2022.10.024</t>
  </si>
  <si>
    <t>DEC 2022</t>
  </si>
  <si>
    <t>WOS:000900833300002</t>
  </si>
  <si>
    <t>Domínguez-Sanchéz, MA; Bustos-Cruz, RH; Velasco-Orjuela, GP; Quintero, AP; Tordecilla-Sanders, A; Correa-Bautista, JE; Triana-Reina, HR; García-Hermoso, A; González-Ruíz, K; Peña-Guzmán, CA; Hernández, E; Peña-Ibagon, JC; Téllez, LA; Izquierdo, M; Ramírez-Vélez, R</t>
  </si>
  <si>
    <t>Dominguez-Sanchez, Maria A.; Bustos-Cruz, Rosa H.; Velasco-Orjuela, Gina P.; Quintero, Andrea P.; Tordecilla-Sanders, Alejandra; Correa-Bautista, Jorge E.; Triana-Reina, Hector R.; Garcia-Hermoso, Antonio; Gonzalez-Ruiz, Katherine; Pena-Guzman, Carlos A.; Hernandez, Enrique; Pena-Ibagon, Jhonatan C.; Tellez-T, Luis A.; Izquierdo, Mikel; Ramirez-Velez, Robinson</t>
  </si>
  <si>
    <t>Acute Effects of High Intensity, Resistance, or Combined Protocol on the Increase of Level of Neurotrophic Factors in Physically Inactive Overweight Adults: The BrainFit Study</t>
  </si>
  <si>
    <t>The purpose of this study was to compare the neurotrophic factor response following one session of high-intensity exercise, resistance training or both in a cohort of physically inactive overweight adults aged 18-30 years old. A randomized, parallel-group clinical trial of 51 men (23.6 +/- 3.5 years; 83.5 +/- 7.8kg; 28.0 +/- 1.9 kg/m(2)) who are physically inactive (i.e., &lt;150min of moderate-intensity exercise per week or IPAQ score of &lt;600 MET min/week for &gt;6 months) and are either abdominally obese (waist circumference &gt;= 90cm) or have a body mass index, BMI &gt;= 25 and &lt;= 30 kg/m(2) were randomized to the following four exercise protocols: high-intensity exercise (4 x 4 min intervals at 85-95% maximum heart rate [HRmax] interspersed with 4 min of recovery at 75-85% HRmax) (n = 14), resistance training (12-15 repetitions per set, at 50-70% of one repetition maximum with 60s of recovery) (n = 12), combined high-intensity and resistance exercise (n = 13), or non-exercising control (n = 12). The plasma levels of neurotrophin-3 (NT-3), neurotrophin-4 (also known as neurotrophin 4 / 5 ; NT-4 or NT4 / 5), and brain-derived neurotrophic factor (BDNF) were determined before (pre-exercise) and 1-min post-exercise for each protocol session. Resistance training induced significant increases in NT-3 (+39.6 ng/mL [95% CI, 2.5-76.6; p = 0.004], and NT4 / 5 (+1.3 ng/mL [95% CI, 0.3-2.3; p = 0.014]), respectively. Additionally, combined training results in favorable effects on BDNF (+22.0, 95% CI, 2.6-41.5; p = 0.029) and NT-3 (+32.9 ng/mL [95% CI, 12.3-53.4; p = 0.004]), respectively. The regression analysis revealed a significant positive relationship between changes in BDNF levels and changes in NT-4/5 levels from baseline to immediate post-exercise in the combined training group (R-2 = 0.345, p = 0.034) but not the other intervention groups. The findings indicate that acute resistance training and combined exercise increase neurotrophic factors in physically inactive overweight adults. Further studies are required to determine the biological importance of changes in neurotrophic responses in overweight men and chronic effects of these exercise protocols.</t>
  </si>
  <si>
    <t>Triana-Reina, Héctor/JMP-5055-2023; González-Ruíz, Katherine/CAA-4624-2022; Correa-Bautista, Jorge Enrique/JDD-3131-2023; Peña, Jhonatan/X-2294-2018; García-Hermoso, Antonio/ADU-2591-2022; Tordecilla-Sanders, Alejandra/O-6276-2017; Garcia-Hermoso, Antonio/P-1857-2017; Correa-Bautista, Jorge Enrique/N-2741-2015; Izquierdo, Mikel/A-4894-2010; Ramirez-Velez, Robinson/D-5311-2016; Bustos Cruz, Helena/P-2742-2018</t>
  </si>
  <si>
    <t>Tordecilla-Sanders, Alejandra/0000-0002-7461-8124; Garcia-Hermoso, Antonio/0000-0002-1397-7182; TRIANA-REINA, HECTOR REYNALDO/0000-0002-6334-7082; Gonzalez-Ruiz, Katherine/0000-0001-7518-0761; Dominguez Sanchez, Maria Andrea/0000-0003-0830-7990; Correa-Bautista, Jorge Enrique/0000-0002-0646-2316; Izquierdo, Mikel/0000-0002-1506-4272; Ramirez-Velez, Robinson/0000-0003-3075-6960; pena, Jhonatan/0000-0002-0580-8151; Bustos Cruz, Helena/0000-0003-0243-2299</t>
  </si>
  <si>
    <t>10.3389/fphys.2018.00741</t>
  </si>
  <si>
    <t>WOS:000436471000001</t>
  </si>
  <si>
    <t>Pinto, V; Stepanova, M; Antonova, EE; Valdivia, JA</t>
  </si>
  <si>
    <t>Pinto, V.; Stepanova, M.; Antonova, E. E.; Valdivia, J. A.</t>
  </si>
  <si>
    <t>Estimation of the eddy-diffusion coefficients in the plasma sheet using THEMIS satellite data</t>
  </si>
  <si>
    <t>JOURNAL OF ATMOSPHERIC AND SOLAR-TERRESTRIAL PHYSICS</t>
  </si>
  <si>
    <t>We have studied the turbulent processes in the central plasma sheet using the tailward alignments of THEMIS satellites. Fluctuations of the plasma bulk velocity and corresponding eddy-diffusion coefficients were calculated using the simultaneous data obtained by THEMIS satellites situated inside the central plasma sheet between approximately 5 and 30 Earth's radii. The instantaneous profiles of eddy-diffusion coefficients show an increase with distance from the Earth in the tailward direction. This result agrees with previous statistical studies, and it is relevant for the understanding of the dynamics of the turbulent plasma sheet. (C) 2011 Elsevier Ltd. All rights reserved.</t>
  </si>
  <si>
    <t>Valdivia, Juan/A-3631-2008; Antonova, Elizaveta/A-2716-2012; Stepanova, Marina/D-6329-2011; Pinto, Victor/C-9585-2011</t>
  </si>
  <si>
    <t>Antonova, Elizaveta/0000-0001-6980-3993; Stepanova, Marina/0000-0002-1053-3375; Pinto, Victor/0000-0003-1210-167X; Valdivia, Juan Alejandro/0000-0003-3381-9904</t>
  </si>
  <si>
    <t>1364-6826</t>
  </si>
  <si>
    <t>1879-1824</t>
  </si>
  <si>
    <t>11-12</t>
  </si>
  <si>
    <t>10.1016/j.jastp.2011.05.007</t>
  </si>
  <si>
    <t>WOS:000294093500025</t>
  </si>
  <si>
    <t>Bozkurt, D; Carrasco, JF; Cordero, RR; Fernandoy, F; Gómez-Contreras, A; Carrillo, B; Guan, B</t>
  </si>
  <si>
    <t>Bozkurt, D.; Carrasco, J. F.; Cordero, R. R.; Fernandoy, F.; Gomez-Contreras, A.; Carrillo, B.; Guan, B.</t>
  </si>
  <si>
    <t>Atmospheric River Brings Warmth and Rainfall to the Northern Antarctic Peninsula During the Mid-Austral Winter of 2023</t>
  </si>
  <si>
    <t>Contrasting the extensive research on summer atmospheric rivers (ARs) in the Antarctic Peninsula (AP), winter AR impacts are less understood. This study examines a unique warming event from 1 to 3 July 2023, using in situ winter observations and ERA5 reanalysis. On 2 July, Frei station experienced an extreme warm event with a temperature of 2.7 degrees C and a significant rise in the freezing level, coinciding with winter rainfall. A pressure dipole pattern over the AP, with contrasting circulations over Bellingshausen and Weddell Seas, facilitated an AR, carrying warm, humid air initially from South America/Atlantic and then the southeast Pacific. This shift resulted in anomalous water stable isotope composition in precipitation. Trends suggest a strengthening winter pressure dipole, associated with increased AR frequency and higher temperatures in northern AP. These findings highlight the importance of winter observations in exploring AR impacts, bridging knowledge gaps about winter AR behaviors. The Antarctic Peninsula is increasingly witnessing climate extremes during summer, while the understanding of such extremes in winter remains limited. Our study explores a significant warming event in the northern Peninsula in early July 2023, utilizing recent winter in situ observations and atmospheric analysis. On 2 July, an exceptional temperature of 2.7 degrees C was recorded, significantly altering the atmospheric freezing level and causing rainfall instead of snow. Our analysis revealed a unique atmospheric pattern around the Peninsula, characterized by varying air movements over the Bellingshausen and Weddell Seas. This pattern facilitated an atmospheric river, a flow of warm and moist air from lower latitudes, including continental South America/Atlantic and the southeast Pacific, as reflected in the precipitation's water stable isotope composition. This event is indicative of a potential trend toward more frequent and severe occurrences, emphasizing the urgent need for comprehensive winter research in the Antarctic Peninsula to understand the broader implications of extreme weather events and climate change. Early July 2023 had extreme winter warmth with rainfall in the northern Antarctic Peninsula, favored by an atmospheric river In recent decades, strengthened winter pressure dipole has directed northerly warm and moist air, resulting in warm events in the region We highlight the need for expanded winter research in the Antarctic Peninsula to better understand climate change and extreme weather events</t>
  </si>
  <si>
    <t>Cordero, Raul/M-7979-2017; Contreras, Aldo/AAB-9093-2020; Bozkurt, Deniz/C-9797-2013; Carrasco, Jorge/K-2949-2014</t>
  </si>
  <si>
    <t>Carrillo Pavez, Benjamin Alfredo/0009-0005-5201-9576; Gomez-Contreras, Alvaro Gustavo/0000-0002-3245-300X; Carrasco, Jorge/0000-0003-2154-5483</t>
  </si>
  <si>
    <t>e2024GL108391</t>
  </si>
  <si>
    <t>10.1029/2024GL108391</t>
  </si>
  <si>
    <t>WOS:001257591300001</t>
  </si>
  <si>
    <t>Gonçalves, AF; Miarka, B; Maurício, CD; Teixeira, RPA; Brito, CJ; Pérez, DIV; Slimani, M; Znazen, H; Bragazzi, NL; Reis, VM</t>
  </si>
  <si>
    <t>Goncalves, Aleksandro Ferreira; Miarka, Bianca; Mauricio, Clovis de Albuquerque; Teixeira, Rafael Pereira Azevedo; Brito, Ciro Jose; Ignacio Valenzuela Perez, Diego; Slimani, Maamer; Znazen, Hela; Bragazzi, Nicola Luigi; Reis, Victor Machado</t>
  </si>
  <si>
    <t>Enhancing performance: unveiling the physiological impact of submaximal and supramaximal tests on mixed martial arts athletes in the-61 kg and-66 kg weight divisions</t>
  </si>
  <si>
    <t>This study delves into the intricate details of Mixed Martial Arts (MMA) by examining key variables such as maximal oxygen uptake (VO2 peak), aerobic energy (EAER), anaerobic energy (EAN), and accumulated O2 deficit (DOA). By investigating associations and comparing athletes in the -61 kg bantamweight and -66 kg featherweight weight divisions, we aim to shed light on their physiological characteristics. The sample consisted of 20 male volunteers separated into two paired groups: ten athletes in the category up to 61 kg (age: 27.7 +/- 5.9 years old, height: 170.9 +/- 3.4 cm, body mass: 72.8 +/- 1.4 kg, fat percentage: 9.5% +/- 3.0%, professional experience: 7.5 +/- 7.1 years) and ten athletes up to 66 kg (age: 27.6 +/- 2.9 years old, height: 176.0 +/- 5.5 cm, body mass: 77.0 +/- 1.5 kg, fat percentage: 7.85% +/- 0.3%, professional experience: 5.5 +/- 1.5 years). Remarkably, our findings revealed striking similarities between the two weight divisions. Furthermore, we discovered a negative correlation between VO2 peak and the number of MMA fights, indicating a potential impact of professional experience on aerobic capacity (r = -0.65, p &lt; 0.01). Additionally, the number of fights exhibited negative correlations with anaerobic energy (r = -0.53, p &lt; 0.05) and total energy cost (r = -0.54, p &lt; 0.05). These results provide valuable insights for designing training programs in the context of MMA. While training both weight divisions together can be beneficial, it is equally crucial to incorporate specific weight-class-focused training to address each division's unique physical demands and requirements.</t>
  </si>
  <si>
    <t>Bragazzi, Nicola/G-1672-2011; Brito, Ciro/AAC-9104-2019; Reis, Victor/M-3531-2013; Miarka, Bianca/V-7395-2017; Slimani, Maamer/JAC-3213-2023</t>
  </si>
  <si>
    <t>Valenzuela Perez, Diego Ignacio/0000-0002-9884-1187</t>
  </si>
  <si>
    <t>JAN 12</t>
  </si>
  <si>
    <t>10.3389/fphys.2023.1257639</t>
  </si>
  <si>
    <t>WOS:001150756000001</t>
  </si>
  <si>
    <t>Wilcken, R; Nishida, J; Triana, JF; John-Herpin, A; Altug, H; Sharma, S; Herrera, F; Raschke, MB</t>
  </si>
  <si>
    <t>Wilcken, Roland; Nishida, Jun; Triana, Johan F.; John-Herpin, Aurelian; Altug, Hatice; Sharma, Sandeep; Herrera, Felipe; Raschke, Markus B.</t>
  </si>
  <si>
    <t>Antenna-coupled infrared nanospectroscopy of intramolecular vibrational interaction</t>
  </si>
  <si>
    <t>Many photonic and electronic molecular properties, as well as chemical and biochemical reactivities are controlled by fast intramolecular vibrational energy redistribution (IVR). This fundamental ultrafast process limits coherence time in applications from photochemistry to single quantum level control. While time-resolved multidimensional IR-spectroscopy can resolve the underlying vibrational interaction dynamics, as a nonlinear optical technique it has been challenging to extend its sensitivity to probe small molecular ensembles, achieve nanoscale spatial resolution, and control intramolecular dynamics. Here, we demonstrate a concept how mode-selective coupling of vibrational resonances to IR nanoantennas can reveal intramolecular vibrational energy transfer. In time-resolved infrared vibrational nanospectroscopy, we measure the Purcell-enhanced decrease of vibrational lifetimes of molecular vibrations while tuning the IR nanoantenna across coupled vibrations. At the example of a Re-carbonyl complex monolayer, we derive an IVR rate of (25 +/- 8) cm-1 corresponding to (450 +/- 150) fs, as is typical for the fast initial equilibration between symmetric and antisymmetric carbonyl vibrations. We model the enhancement of the cross-vibrational relaxation based on intrinsic intramolecular coupling and extrinsic antenna-enhanced vibrational energy relaxation. The model further suggests an anti-Purcell effect based on antenna and laser-field-driven vibrational mode interference which can counteract IVR-induced relaxation. Nanooptical spectroscopy of antenna-coupled vibrational dynamics thus provides for an approach to probe intramolecular vibrational dynamics with a perspective for vibrational coherent control of small molecular ensembles.</t>
  </si>
  <si>
    <t>Raschke, Markus/F-8023-2013; Herrera, Felipe/KHD-8453-2024; Triana, Johan F./AAU-9985-2021</t>
  </si>
  <si>
    <t>Triana, Johan F./0000-0001-9551-3121; Nishida, Jun/0000-0001-7834-8179; Wilcken, Roland/0000-0002-2578-5129; RASCHKE, MARKUS/0000-0003-2822-851X</t>
  </si>
  <si>
    <t>1091-6490</t>
  </si>
  <si>
    <t>MAY 16</t>
  </si>
  <si>
    <t>e2220852120</t>
  </si>
  <si>
    <t>10.1073/pnas.2220852120</t>
  </si>
  <si>
    <t>WOS:001168014500001</t>
  </si>
  <si>
    <t>Katifori, E; Alben, S; Cerda, E; Nelson, DR; Dumais, J</t>
  </si>
  <si>
    <t>Katifori, Eleni; Alben, Silas; Cerda, Enrique; Nelson, David R.; Dumais, Jacques</t>
  </si>
  <si>
    <t>Foldable structures and the natural design of pollen grains</t>
  </si>
  <si>
    <t>Upon release from the anther, pollen grains of angiosperm flowers are exposed to a dry environment and dehydrate. To survive this process, pollen grains possess a variety of physiological and structural adaptations. Perhaps the most striking of these adaptations is the ability of the pollen wall to fold onto itself to prevent further desiccation. Roger P. Wodehouse coined the term harmomegathy for this folding process in recognition of the critical role it plays in the survival of the pollen grain. There is still, however, no quantitative theory that explains how the structure of the pollen wall contributes to harmomegathy. Here we demonstrate that simple geometrical and mechanical principles explain how wall structure guides pollen grains toward distinct folding pathways. We found that the presence of axially elongated apertures of high compliance is critical for achieving a predictable and reversible folding pattern. Moreover, the intricate sculpturing of the wall assists pollen closure by preventing mirror buckling of the surface. These results constitute quantitative structure-function relationships for pollen harmomegathy and provide a framework to elucidate the functional significance of the very diverse pollen morphologies observed in angiosperms.</t>
  </si>
  <si>
    <t>Dumais, Jacques/H-7950-2013</t>
  </si>
  <si>
    <t>Dumais, Jacques/0000-0003-2344-4766; Alben, Silas/0000-0002-8020-4999; Katifori, Eleni/0000-0002-7332-4749</t>
  </si>
  <si>
    <t>APR 27</t>
  </si>
  <si>
    <t>10.1073/pnas.0911223107</t>
  </si>
  <si>
    <t>WOS:000277088700010</t>
  </si>
  <si>
    <t>García, AM; Ibáñez, A; Miller, B; Tempini, MLG</t>
  </si>
  <si>
    <t>Garcia, Adolfo M.; Ibanez, Agustin; Miller, Bruce; Gorno Tempini, Maria Luisa</t>
  </si>
  <si>
    <t>Editorial: The Unusual Suspects: Linguistic Deficits in Non-Language-Dominant Neurodegenerative Diseases</t>
  </si>
  <si>
    <t>FRONTIERS IN AGING NEUROSCIENCE</t>
  </si>
  <si>
    <t>1663-4365</t>
  </si>
  <si>
    <t>FEB 16</t>
  </si>
  <si>
    <t>10.3389/fnagi.2022.861041</t>
  </si>
  <si>
    <t>WOS:000765247800001</t>
  </si>
  <si>
    <t>Marconcin, P; Marques, A; Henriques-Neto, D; Gouveia, ÉR; Ferrari, G; Peralta, M; Ihle, A</t>
  </si>
  <si>
    <t>Marconcin, Priscila; Marques, Adilson; Henriques-Neto, Duarte; Gouveia, Elvio R.; Ferrari, Gerson; Peralta, Miguel; Ihle, Andreas</t>
  </si>
  <si>
    <t>Grip strength as a predictor of depressive symptoms among vulnerable elderly Europeans with musculoskeletal conditions</t>
  </si>
  <si>
    <t>The present study aimed to investigate the grip strength (GS) discrimination capacity and cutoffs points for depressive symptoms among vulnerable elderly individuals with musculoskeletal conditions. The Survey of Health, Aging, and Retirement in Europe wave 6 was analyzed. GS was measured by a handgrip dynamometer, and EURO-D scale was used to assess depressive symptoms. GS cutoff values for depressive symptoms were calculated using the receiver operating characteristics curve. 2206 participants, mean age 74.0 (73.7-74.3), 78.8% with osteoarthritis/other rheumatism, enrolled in the study. Sensitivity varies between 0.44 (men, &gt;= 85 years) and 0.82 (men, 75-84 years), and specificity varying between 0.35 (women, 75-84 years) and 0.70 (men 75-84 years). GS is associated with depressive symptoms just for women and it is not possible to use a GS cutoff point for screening depressive symptoms for vulnerable men and women with musculoskeletal conditions over the age of 65 years.</t>
  </si>
  <si>
    <t>Gouveia, Elvio/F-9156-2015; Marconcin, Priscila/GRO-2708-2022; Ferrari, Gerson/ABG-6635-2021; Marques, Adilson/K-4529-2014; Henriques-Neto, Duarte/I-9265-2012; Ferrari, Gerson/P-1152-2014; Peralta, Miguel/H-1666-2017</t>
  </si>
  <si>
    <t>Ihle, Andreas/0000-0001-9845-5190; Marques, Adilson/0000-0001-9850-7771; Henriques-Neto, Duarte/0000-0003-3780-6545; Ferrari, Gerson/0000-0003-3177-6576; Peralta, Miguel/0000-0001-6072-6012</t>
  </si>
  <si>
    <t>OCT 29</t>
  </si>
  <si>
    <t>10.1038/s41598-021-00751-3</t>
  </si>
  <si>
    <t>WOS:000712891800036</t>
  </si>
  <si>
    <t>Espinoza-Villalobos, N; Rojas, S; Salazar, RA; Contreras, D; Escalona, N; Vergara, E; Laguna-Bercero, MA; Mendizabal, F; Barrientos, L</t>
  </si>
  <si>
    <t>Espinoza-Villalobos, Nicole; Rojas, Susana; Andres Salazar, Ricardo; Contreras, David; Escalona, Nestor; Vergara, Elizabeth; Angel Laguna-Bercero, Miguel; Mendizabal, Fernando; Barrientos, Lorena</t>
  </si>
  <si>
    <t>Role of β-CD Macromolecule Anchored to α-Fe2O3/TiO2 on the Selectivity and Partial Oxidation of Guaiacol to Add-Value Products</t>
  </si>
  <si>
    <t>ACS SUSTAINABLE CHEMISTRY &amp; ENGINEERING</t>
  </si>
  <si>
    <t>Biomass is a naturally abundant, sustainable, and clean resource, which has the potential to replace fossil feedstock for sustainable production of high add-value chemicals. However, an efficient conversion process is still difficult to achieve due to the difficult reaction conditions. In this study as a novel and versatile concept, we introduced the use of beta-cyclodextrin (beta-CD) macromolecule to enhance the photocatalytic behavior of a alpha-Fe2O3/TiO2 heterojunction. The selective conversion of guaiacol was evaluated using 0.2, 1.0, and 2.0 molar ratios of beta-CD anchored on 0.7 wt % alpha-Fe2O3/TiO2 under mild reaction conditions. 1.0 molar ratio of beta-CD promoted photo-oxidation of guaiacol to mainly produce p-benzoquinone with similar to 68% selectivity at similar to 10% conversion. To understand this effect, Electron Paramagnetic Resonance Spectroscopy (EPR) in operando mode and Diffuse Reflectance Spectroscopy (DRS) experiments were performed. The results showed that the 1.0 molar ratio of beta-CD decreases the bandgap from 3.06 to 2.76 eV and controls the center dot OH radical concentration due to the formation of a covalent bond between beta-CD and semiconductors. The improved guaiacol adsorption capacity on the photocatalyst resulted in the enhancement of the photochemical activity and selectivity. Additionally, a possible pathway of guaiacol transformation was proposed through the oxidation intermediates. Furthermore, the photocatalyst beta-CD/alpha-Fe2O3/TiO2 can be recycled efficiently and reused three times, without loss in reactivity.</t>
  </si>
  <si>
    <t>Salazar, Ricardo/L-7870-2013; Escalona, Nestor/F-3593-2016; Contreras, David/C-6830-2012; Rojas de la Fuente, Susana/AAP-2967-2020; Barrientos, Lorena/J-8906-2017; LAGUNA-BERCERO, MIGUEL/A-3182-2012</t>
  </si>
  <si>
    <t>Barrientos, Lorena/0000-0002-9641-6507; Mendizabal, Fernando/0000-0002-6912-8630; Salazar-Gonzalez, Ricardo/0000-0003-2180-6022; Escalona Burgos, Nestor/0000-0002-2628-4609; Rojas de la Fuente, Susana Dennis/0000-0003-0557-0734; Contreras, David/0000-0003-1346-5918; LAGUNA-BERCERO, MIGUEL/0000-0002-7819-8956</t>
  </si>
  <si>
    <t>2168-0485</t>
  </si>
  <si>
    <t>10.1021/acssuschemeng.1c03528</t>
  </si>
  <si>
    <t>WOS:000692546300012</t>
  </si>
  <si>
    <t>Firmino, JP; Fernández-Alacid, L; Vallejos-Vidal, E; Salomón, R; Sanahuja, I; Tort, L; Ibarz, A; Reyes-López, FE; Gisbert, E</t>
  </si>
  <si>
    <t>Firmino, Joana P.; Fernandez-Alacid, Laura; Vallejos-Vidal, Eva; Salomon, Ricardo; Sanahuja, Ignasi; Tort, Lluis; Ibarz, Antoni; Reyes-Lopez, Felipe E.; Gisbert, Enric</t>
  </si>
  <si>
    <t>Carvacrol, Thymol, and Garlic Essential Oil Promote Skin Innate Immunity in Gilthead Seabream (Sparus aurata) Through the Multifactorial Modulation of the Secretory Pathway and Enhancement of Mucus Protective Capacity</t>
  </si>
  <si>
    <t>One of the main targets for the use of phytogenics in aquafeeds is the mucosal tissues as they constitute a physical and biochemical shield against environmental and pathogenic threats, comprising elements from both the innate and acquired immunity. In the present study, the modulation of the skin transcriptional immune response, the bacterial growth capacity in skin mucus, and the overall health condition of gilthead seabream (Sparus aurata) juveniles fed a dietary supplementation of garlic essential oil, carvacrol, and thymol were assessed. The enrichment analysis of the skin transcriptional profile of fish fed the phytogenic-supplemented diet revealed the regulation of genes associated to cellular components involved in the secretory pathway, suggesting the stimulation, and recruitment of phagocytic cells. Genes recognized by their involvement in non-specific immune response were also identified in the analysis. The promotion of the secretion of non-specific immune molecules into the skin mucus was proposed to be involved in the in vitro decreased growth capacity of pathogenic bacteria in the mucus of fish fed the phytogenic-supplemented diet. Although the mucus antioxidant capacity was not affected by the phytogenics supplementation, the regulation of genes coding for oxidative stress enzymes suggested the reduction of the skin oxidative stress. Additionally, the decreased levels of cortisol in mucus indicated a reduction in the fish allostatic load due to the properties of the tested additive. Altogether, the dietary garlic, carvacrol, and thymol appear to promote the gilthead seabream skin innate immunity and the mucus protective capacity, decreasing its susceptibility to be colonized by pathogenic bacteria.</t>
  </si>
  <si>
    <t>Salomón, Ricardo/ABC-8308-2021; Fernandez-Alacid, Laura/R-4365-2016; Firmino, Joana/AAX-1575-2021; Reyes-López, Felipe/S-1760-2018; Tort, Lluis/H-5650-2011; Sanahuja, Ignasi/J-5673-2017; Gisbert, Enric/B-3654-2011; Vallejos-Vidal, Eva/R-9606-2019; Ibarz, Antoni/D-9611-2014</t>
  </si>
  <si>
    <t>Gisbert, Enric/0000-0002-7457-8468; Salomon Figueredo, Ricardo/0000-0003-1433-2789; Reyes-Lopez, Felipe E./0000-0002-5001-457X; Vallejos-Vidal, Eva/0000-0002-3091-2700; Firmino, Joana/0000-0002-7694-0416; Ibarz, Antoni/0000-0002-1890-5305; Tort, Lluis/0000-0002-3907-722X; Fernandez-Alacid, Laura/0000-0001-7867-0985</t>
  </si>
  <si>
    <t>MAR 12</t>
  </si>
  <si>
    <t>10.3389/fimmu.2021.633621</t>
  </si>
  <si>
    <t>WOS:000632652700001</t>
  </si>
  <si>
    <t>Stefani, D; Gutiérrez-Cerón, CA; Aravena, D; Labra-Muñoz, J; Suarez, C; Liu, SM; Soler, M; Echegoyen, L; van der Zant, HSJ; Dulic, D</t>
  </si>
  <si>
    <t>Stefani, Davide; Gutierrez-Ceron, Cristian A.; Aravena, Daniel; Labra-Munoz, Jacqueline; Suarez, Catalina; Liu, Shuming; Soler, Monica; Echegoyen, Luis; van der Zant, Herre S. J.; Dulic, Diana</t>
  </si>
  <si>
    <t>Charge Transport through a Single Molecule of trans-1-bis-Diazofluorene [60]fullerene</t>
  </si>
  <si>
    <t>CHEMISTRY OF MATERIALS</t>
  </si>
  <si>
    <t>Fullerenes have attracted interest for their possible applications in various electronic, biological, and optoelectronic devices. However, for efficient use in such devices, a suitable anchoring group has to be employed that forms well-defined and stable contacts with the electrodes. In this work, we propose a novel fullerene tetramalonate derivate functionalized with trans-1 4,5-diazafluorene anchoring groups. The conductance of single-molecule junctions, investigated in two different setups with the mechanically controlled break junction technique, reveals the formation of molecular junctions at three conductance levels. We attribute the conductance peaks to three binding modes of the anchoring groups to the gold electrodes. Density functional theory calculations confirm the existence of multiple binding configurations and calculated transmission functions are consistent with experimentally determined conductance values.</t>
  </si>
  <si>
    <t>van der Zant, Herre/J-9467-2016; Suarez, Catalina/AAQ-5104-2020; Echegoyen, Luis/B-4570-2011; Dulic, Diana/D-5515-2012; Gutierrez Ceron, Cristian/O-7236-2018; Soler, Monica/A-6705-2013; Aravena, Daniel/F-2174-2011</t>
  </si>
  <si>
    <t>Gutierrez Ceron, Cristian/0000-0001-6078-1572; Soler, Monica/0000-0003-2125-6809; Aravena, Daniel/0000-0003-3140-4852; Dulic, Diana/0000-0002-8302-5507</t>
  </si>
  <si>
    <t>0897-4756</t>
  </si>
  <si>
    <t>1520-5002</t>
  </si>
  <si>
    <t>10.1021/acs.chemmater.7b02037</t>
  </si>
  <si>
    <t>WOS:000410868600033</t>
  </si>
  <si>
    <t>Paredes-García, V; Toledo, N; Denardin, J; Venegas-Yazigi, D; Cruz, C; Spodine, E; Luo, ZP</t>
  </si>
  <si>
    <t>Paredes-Garcia, Veronica; Toledo, Nestor; Denardin, Juliano; Venegas-Yazigi, Diego; Cruz, Carlos; Spodine, Evgenia; Luo, Zhiping</t>
  </si>
  <si>
    <t>ONE POT SOLVOTHERMAL SYNTHESIS OF ORGANIC ACID COATED MAGNETIC IRON OXIDE NANOPARTICLES</t>
  </si>
  <si>
    <t>JOURNAL OF THE CHILEAN CHEMICAL SOCIETY</t>
  </si>
  <si>
    <t>In this work we present the synthesis and characterization of iron oxide nanoparticles (IONPs), which were structurally and magnetically characterized. The use of iron salts and an organic acid (l-serine or ascorbic acid) as precursors under solvothermal conditions yielded these coated IONPs. The powder X-ray diffraction pattern of FeO-1 and FeO-2 is consistent with hematite (alpha-Fe2O3) and hematite-maghemite ((alpha-Fe2O3/gamma-Fe2O3) respectively. The TEM analysis permits to estimate an average size of 10 nm for the FeO-1 sample. The magnetic characterization of the samples through the M(H) plots showed a very low coercivity value for both samples, being 53 Oe for FeO-1 and 10 Oe for FeO-2, indicating the very weak ferromagnetic character of the synthesized iron oxide species. Even though both organic acids under solvothermal conditions permit to obtain coated IONPs in one pot reaction, l-serine produces a more narrow-size distribution.</t>
  </si>
  <si>
    <t>Denardin, Juliano/S-6407-2019; Paredes-Garcia, Veronica/C-4415-2011; Cruz, Carlos/KIG-8993-2024; Luo, Zhiping/C-4435-2014; Venegas-Yazigi, Diego/C-5022-2009</t>
  </si>
  <si>
    <t>Venegas-Yazigi, Diego/0000-0001-7816-2841; Cruz Herrera, Carlos/0000-0002-2644-4297; Denardin, Juliano/0000-0002-1373-6207</t>
  </si>
  <si>
    <t>0717-9707</t>
  </si>
  <si>
    <t>10.4067/S0717-97072013000400023</t>
  </si>
  <si>
    <t>WOS:000331238800019</t>
  </si>
  <si>
    <t>Guo, Y; Huang, CW; Pitcheri, R; Shekhar, B; Radhalayam, D; Roy, S; Kummara, MR; Karim, MR</t>
  </si>
  <si>
    <t>Guo, Yu; Huang, Changwei; Pitcheri, Rosaiah; Shekhar, Banoth; Radhalayam, Dhanalakshmi; Roy, Soumyendu; Kummara, Madhusudana Rao; Karim, Mohammad Rezaul</t>
  </si>
  <si>
    <t>Bio-green synthesis of bismuth oxide nanoparticles using almond gum for enhanced photocatalytic degradation of water pollutants and biocompatibility</t>
  </si>
  <si>
    <t>INTERNATIONAL JOURNAL OF BIOLOGICAL MACROMOLECULES</t>
  </si>
  <si>
    <t>The discharge of dye-contaminated industrial wastewater is a significant source of water and soil pollution. The eco-friendly synthesis of multifunctional bismuth oxide nanoparticles (BiO-NPs) offers a promising approach for the removal of toxic contaminants. The incorporation of natural polymers in nanoparticle production has gained significant scientific attention due to their environmentally friendly and efficient properties. This study emphasizes the use of almond gum (ALG) as a potent bio-reductant for the green synthesis of BiO-NPs. The synthesized BiO NPs exhibited a surface area of 24.5774 m2/g, demonstrating their potential for enhanced catalytic activity. The photocatalytic activity of the BiO NPs was evaluated by degrading Congo Red and Brilliant Green dyes under visible light irradiation, achieving degradation efficiencies of 90.21 % +/- 0.32 and 90.52 % +/- 0.29, respectively. Radical trapping experiments confirmed the primary roles of photo-generated electrons and hydroxyl radicals in the degradation process. The reusability analysis demonstrated that the BiO-NPs could be effectively recycled for 4 cycles, maintaining good stability. Degradation intermediates were identified using LCMS. Additionally, the catalytic reduction conversion of 4-nitrophenol to 4-aminophenol using NaBH4 achieved a degradation efficiency of 92 % +/- 0.41 within 32 min. Biocompatibility assessments using NIH/3T3 cell lines indicated that ALG-BiO NPs are safe for environmental applications.</t>
  </si>
  <si>
    <t>Karim, Mohammad/AAL-7197-2021; Rosaiah/B-4028-2014; Rao, Kummara/B-4986-2012; Roy, Soumyendu/N-4586-2014</t>
  </si>
  <si>
    <t>0141-8130</t>
  </si>
  <si>
    <t>1879-0003</t>
  </si>
  <si>
    <t>10.1016/j.ijbiomac.2025.140222</t>
  </si>
  <si>
    <t>WOS:001413978000001</t>
  </si>
  <si>
    <t>Goncalves, Aleksandro Ferreria; Miarka, Bianca; Mauricio, Clovis de Albuquerque; Teixeira, Rafael Pereira Azevedo; Brito, Ciro Jose; Perez, Diego Ignacio Valenzuela; Slimani, Maamer; Znazen, Hela; Bragazzi, Nicola Luigi; Reis, Victor Machado</t>
  </si>
  <si>
    <t>Enhancing performance: unveiling the physiological impact of submaximal and supramaximal tests on mixed martial arts athletes in the -61 kg and -66 kg weight divisions (vol 14, 1257639, 2024)</t>
  </si>
  <si>
    <t>Reis, Victor/M-3531-2013; Bragazzi, Nicola/G-1672-2011; Brito, Ciro/ABH-2245-2020; Miarka, Bianca/V-7395-2017</t>
  </si>
  <si>
    <t>10.3389/fphys.2024.1447631</t>
  </si>
  <si>
    <t>WOS:001276442900001</t>
  </si>
  <si>
    <t>Núñez-Carrasco, L; Cladera, J; Cruz, PJ; Egan, N; Figlioli, GA; Godoy-Garraza, G; Golsberg, C; Quiñones-Díaz, X; Sáez-Tonacca, L; Vieira-Pak, M; Winkel, T</t>
  </si>
  <si>
    <t>Nunez-Carrasco, Lizbeth; Cladera, Jorge; Cruz, Pablo Jose; Egan, Nancy; Figlioli, Gabriela Andrea; Godoy-Garraza, Gaston; Golsberg, Celeste; Quinones-Diaz, Ximena; Saez-Tonacca, Luis; Vieira-Pak, Manuela; Winkel, Thierry</t>
  </si>
  <si>
    <t>Social capital, biocultural heritage, and commoning for inclusive sustainability of peasant agriculture: three case studies in Argentina, Bolivia, and Chile</t>
  </si>
  <si>
    <t>DESENVOLVIMENTO E MEIO AMBIENTE</t>
  </si>
  <si>
    <t>Social issues and theoretical background: the sustainability of human societies depends on the intergenerational transmission of capital stocks, whether natural, social or economic. With ever more competition for economic resources, sustainability must increasingly focus on the mutual reinforcement of social and natural capitals. This perspective is particularly relevant for peasant agriculture and producers, who are constantly at risk of social and economic exclusion, but whose social and natural capitals remain important, though often underutilized, even by the peasants themselves. The concepts of commoning and social capital are useful for addressing these issues and activating biocultural heritage from an ethically inclusive sustainability perspective. Objective and methods: We seek to understand how peasants organize to collectively achieve goals of social and economic inclusion that could promote their sustainability and resilience in the face of economic constraints. Using field surveys and participatory action research, we analyzed the social, economic, and environmental factors that fostered the emergence and sustainability of producer organizations and their value chains. This was done in three peasant organizations in Argentina, Bolivia and Chile, whose common starting point is the valorization of traditional quinoa grain, but which differ greatly in terms of size, internal dynamics and organizational trajectories. Results: The successes and challenges of the social innovations implemented in the three cases studied provide lessons on how farmers can mobilize their social capital and leverage the resources of their cultural and natural capitals to achieve ethically inclusive sustainability. While some lessons remain context-specific, others appear to be independent of the size and place of organizations, and several demonstrate the importance of socio-ethical interactions cultivated both within organizations and with consumers.</t>
  </si>
  <si>
    <t>Quinones, Ximena/LWJ-5621-2024; WINKEL, Thierry/E-2388-2011</t>
  </si>
  <si>
    <t>Quinones Diaz, Ximena/0000-0002-1962-4417</t>
  </si>
  <si>
    <t>1518-952X</t>
  </si>
  <si>
    <t>2176-9109</t>
  </si>
  <si>
    <t>JUL-DEC</t>
  </si>
  <si>
    <t>10.5380/dma.v62i0.90418</t>
  </si>
  <si>
    <t>WOS:001104140200017</t>
  </si>
  <si>
    <t>Cordero, RR; Feron, S; Damiani, A; Sepúlveda, E; Jorquera, J; Redondas, A; Seckmeyer, G; Carrasco, J; Rowe, P; Ouyang, ZT</t>
  </si>
  <si>
    <t>Cordero, Raul R.; Feron, Sarah; Damiani, Alessandro; Sepulveda, Edgardo; Jorquera, Jose; Redondas, Alberto; Seckmeyer, Gunther; Carrasco, Jorge; Rowe, Penny; Ouyang, Zutao</t>
  </si>
  <si>
    <t>Surface Solar Extremes in the Most Irradiated Region on Earth, Altiplano</t>
  </si>
  <si>
    <t>BULLETIN OF THE AMERICAN METEOROLOGICAL SOCIETY</t>
  </si>
  <si>
    <t>Satellites have consistently pointed to the Altiplano of the Atacama Desert as the place on Earth where the world's highest surface irradiance occurs. This region, near the Tropic of Capricorn, is characterized by its high elevation, prevalent cloudless conditions, and relatively low concentrations of ozone, aerosols, and precipitable water. Aimed at studying the variability of the surface solar irradiance and detecting atmospheric composition changes in the Altiplano, an atmospheric observatory was set up in 2016 at the northwestern border of the Chajnantor Plateau (5,148 m MSL, 22.95 &amp; DEG;S, 67.78 &amp; DEG;W, Chile). Here, we report on the first 5 years of measurements at this observatory that establish the Altiplano as the region that receives the highest-known locations. We found that the global horizontal shortwave (SW) irradiance on the plateau is on average 308 W m-2 (equivalent to an annual irradiation of 2.7 MWh m-2 yr-1, the highest worldwide). We also found that forward scattering by broken clouds often leads to intense bursts of SW irradiance; a record of 2,177 W m-2 was measured, equivalent to the extraterrestrial SW irradiance expected at approximately 0.79 astronomical units (AU) from the Sun. These cloud-driven surface solar extremes occur on the Chajnantor Plateau at a frequency, intensity, and duration not previously seen anywhere in the world, making the site an ideal location for studying the response of photovoltaic (PV) power plants to periods of enhanced SW variability.</t>
  </si>
  <si>
    <t>Damiani, Alessandro/X-4677-2019; Cordero, Raul/M-7979-2017; Yang, Zutao/LSL-2505-2024; Redondas, Alberto/L-9299-2015; Carrasco, Jorge/K-2949-2014</t>
  </si>
  <si>
    <t>Cordero, Raul R./0000-0001-7607-7993; Damiani, Alessandro/0000-0003-3014-6193; Yang, Zutao/0000-0002-6919-569X; Redondas, Alberto/0000-0002-4826-6823; Feron, Sarah/0000-0002-0572-5639; Carrasco, Jorge/0000-0003-2154-5483</t>
  </si>
  <si>
    <t>0003-0007</t>
  </si>
  <si>
    <t>1520-0477</t>
  </si>
  <si>
    <t>E1206</t>
  </si>
  <si>
    <t>E1221</t>
  </si>
  <si>
    <t>10.1175/BAMS-D-22-0215.1</t>
  </si>
  <si>
    <t>WOS:001025739900001</t>
  </si>
  <si>
    <t>Montero, R; Chan, JTH; Müller, C; Just, PN; Ostermann, S; Overland, M; Maisey, K; Korytár, T; Köllner, B</t>
  </si>
  <si>
    <t>Montero, Ruth; Chan, Justin Tze Ho; Mueller, Claudia; Just, Philip Niclas; Ostermann, Sven; overland, Margareth; Maisey, Kevin; Korytar, Tomas; Kollner, Bernd</t>
  </si>
  <si>
    <t>Variations in Rainbow Trout Immune Responses against A. salmonicida: Evidence of an Internal Seasonal Clock in Oncorhynchus mykiss</t>
  </si>
  <si>
    <t>Simple Summary Our bodies run on an internal schedule or clock, telling us when to rest, sleep, or digest, and when to wake up, be active, or burn calories. That's why we experience jetlag because we may well set our watches forward or backward, but our bodies haven't yet. Imagine a seasonal clock that helps get us through the year, not just through the day. We set out to prove that such a clock exists in fish just like it does in humans. We exposed rainbow trout to bacteria to imitate natural encounters. We raised fish in the laboratory under the same light and temperature all year long. When we tested them in summer and winter, the fish consequently experienced days that were artificially longer/shorter or warmer/colder. Nonetheless, certain fish white blood cells didn't react or see the bacteria as a threat in winter unlike in summer. They were probably behaving based on the time of year, or season and not on their immediate environment, just like how a jetlagged individual behaves based on an internal clock, not on what it's like outside. Immunity and other processes are regulated differently between seasons, making animals less or more vulnerable in summer or winter. In poikilothermic vertebrates, seasonality influences different immunological parameters such as leukocyte numbers, phagocytic activity, and antibody titers. This phenomenon has been described in different teleost species, with immunological parameters peaking during warmer months and decreased levels during winter. In this study, the cellular immune responses of rainbow trout (Oncorhynchus mykiss) kept under constant photoperiod and water temperature against intraperitoneally injected Aeromonas salmonicida during the summer and winter were investigated. The kinetics of different leukocyte subpopulations from peritoneal cavity, spleen, and head kidney in response to the bacteria was measured by flow cytometry. Furthermore, the kinetics of induced A. salmonicida-specific antibodies was evaluated by ELISA. Despite maintaining the photoperiod and water temperature as constant, different cell baselines were detected in all organs analyzed. During the winter months, B- and T-cell responses were decreased, contrary to what was observed during summer months. However, the specific antibody titers were similar between the two seasons. Natural antibodies, however, were greatly increased 12 h post-injection only during the wintertime. Altogether, our results suggest a bias toward innate immune responses and potential lymphoid immunosuppression in the wintertime in trout. These seasonal differences, despite photoperiod and water temperature being kept constant, suggest an internal inter-seasonal or circannual clock controlling the immune system and physiology of this teleost fish.</t>
  </si>
  <si>
    <t>Maisey, Kevin/AAP-2886-2021; Chan, Justin/AAF-5084-2021; Korytář, Tomáš/AAY-7683-2020</t>
  </si>
  <si>
    <t>Maisey, Kevin/0000-0002-7423-6329; Just, Philip Niclas/0000-0002-3350-4833; Montero, Ruth Tamara/0000-0002-3019-1800; Chan, Justin Tze Ho/0000-0003-4271-0177; Muller, Claudia/0009-0009-2517-6022</t>
  </si>
  <si>
    <t>10.3390/biology11020174</t>
  </si>
  <si>
    <t>WOS:000761410400001</t>
  </si>
  <si>
    <t>de Lira, WM</t>
  </si>
  <si>
    <t>HerreraSobek, M; Lomeli, FA; Kirschner, LA</t>
  </si>
  <si>
    <t>de Lira, Wellington Marinho</t>
  </si>
  <si>
    <t>Brazilian quilombos Castainho and its struggle for human rights</t>
  </si>
  <si>
    <t>HUMAN RIGHTS IN THE AMERICAS</t>
  </si>
  <si>
    <t>INTERAMERICAN RESEARCH-CONTACT COMMUNICATION CONFLICT</t>
  </si>
  <si>
    <t>978-1-00-312031-5; 978-0-367-63691-3</t>
  </si>
  <si>
    <t>WOS:001057228800014</t>
  </si>
  <si>
    <t>Estrada, LD; Duran, E; Cisterna, M; Echeverria, C; Zheng, ZP; Borgna, V; Arancibia-Miranda, N; Ramírez-Tagle, R</t>
  </si>
  <si>
    <t>Estrada, Lisbell D.; Duran, Elizabeth; Cisterna, Matias; Echeverria, Cesar; Zheng, Zhiping; Borgna, Vincenzo; Arancibia-Miranda, Nicolas; Ramirez-Tagle, Rodrigo</t>
  </si>
  <si>
    <t>The cluster [Re6Se8I6]3- penetrates biological membranes: drug-like properties for CNS tumor treatment and diagnosis</t>
  </si>
  <si>
    <t>BIOMETALS</t>
  </si>
  <si>
    <t>Tumorigenic cell lines are more susceptible to [Re6Se8I6](3-) cluster-induced death than normal cells, becoming a novel candidate for cancer treatment. Still, the feasibility of using this type of molecules in human patients remains unclear and further pharmacokinetics analysis is needed. Using coupled plasma optical emission spectroscopy, we determined the Re-cluster tissue content in injected mice, as a biodistribution measurement. Our results show that the Re-cluster successfully reaches different tissues, accumulating mainly in heart and liver. In order to dissect the mechanism underlying cluster biodistribution, we used three different experimental approaches. First, we evaluate the degree of lipophilicity by determining the octanol/water partition coefficient. The cluster mostly remained in the octanol fraction, with a coefficient of 1.86 +/- 0.02, which indicates it could potentially cross cell membranes. Then, we measured the biological membrane penetration through a parallel artificial membrane permeability assays (PAMPA) assay. The Re-cluster crosses the artificial membrane, with a coefficient of 122 nm/s that is considered highly permeable. To evaluate a potential application of the Re-cluster in central nervous system (CNS) tumors, we analyzed the cluster's brain penetration by exposing cultured blood-brain-barrier (BBB) cells to increasing concentrations of the cluster. The Re-cluster effectively penetrates the BBB, reaching nearly 30% of the brain side after 24 h. Thus, our results indicate that the Re-cluster penetrates biological membranes reaching different target organs-most probably due to its lipophilic properties-becoming a promising anti-cancer drug with high potential for CNS cancer's diagnosis and treatment.</t>
  </si>
  <si>
    <t>estrada, lisbell/S-8188-2019; ECHEVERRIA, CESAR/AAH-4994-2019; Arancibia-Miranda, Nicolás/I-6743-2013; Ramirez, Rodrigo/L-3519-2017; Borgna, Vincenzo/AAZ-8414-2020</t>
  </si>
  <si>
    <t>Estrada, Lisbell/0000-0002-8594-4072; Ramirez Tagle, Rodrigo/0000-0003-0694-1808; ECHEVERRIA ECHEVERRIA, CESAR ANTONIO/0000-0001-5431-7183</t>
  </si>
  <si>
    <t>0966-0844</t>
  </si>
  <si>
    <t>1572-8773</t>
  </si>
  <si>
    <t>10.1007/s10534-018-0097-3</t>
  </si>
  <si>
    <t>WOS:000440104700005</t>
  </si>
  <si>
    <t>Moreno, R; Carvalho-Santos, VL; Espejo, AP; Laroze, D; Chubykalo-Fesenko, O; Altbir, D</t>
  </si>
  <si>
    <t>Moreno, R.; Carvalho-Santos, V. L.; Espejo, A. P.; Laroze, D.; Chubykalo-Fesenko, O.; Altbir, D.</t>
  </si>
  <si>
    <t>Oscillatory behavior of the domain wall dynamics in a curved cylindrical magnetic nanowire</t>
  </si>
  <si>
    <t>Understanding the domain wall dynamics is an important issue in modern magnetism. Here we present results of domain wall displacement in curved cylindrical nanowires at a constant magnetic field. We show that the average velocity of a transverse domain wall increases with curvature. Contrary to what is observed in stripes, in a curved wire the transverse domain wall oscillates along and rotates around the nanowire with the same frequency. These results open the possibility of new oscillation-based applications.</t>
  </si>
  <si>
    <t>Laroze, David/Z-2852-2019; Carvalho-Santos, Vagson/E-8806-2013; Altbir, Dora/R-6781-2018; Chubykalo-Fesenko, Oksana/V-5015-2017; Laroze, David/E-9134-2011</t>
  </si>
  <si>
    <t>Carvalho-Santos, Vagson/0000-0002-2759-2152; Altbir, Dora/0000-0002-2945-4909; Chubykalo-Fesenko, Oksana/0000-0002-4081-1831; Moreno, Roberto/0000-0002-9799-4210; Laroze, David/0000-0002-6487-8096</t>
  </si>
  <si>
    <t>10.1103/PhysRevB.96.184401</t>
  </si>
  <si>
    <t>WOS:000414133000003</t>
  </si>
  <si>
    <t>Ortiz, MG; Sanservino, MA; Visintin, A; Pizarro, GDC; Tundidor-Camba, MV; Schott, E; Sepulveda, A; Zúñiga, C; Oyarzún, DP; Martin-Trasancos, R</t>
  </si>
  <si>
    <t>Ortiz, M. G.; Sanservino, M. A.; Visintin, A.; Pizarro, G. del C.; Tundidor-Camba, M. V.; Schott, E.; Sepulveda, A.; Zuniga, C.; Oyarzun, D. P.; Martin-Trasancos, R.</t>
  </si>
  <si>
    <t>β-cyclodextrin and adamantane polyacrylic acid copolymers as supramolecular binder for silicon anodes: N-methylpyrrolidone or water for preparing the slurries?</t>
  </si>
  <si>
    <t>CARBOHYDRATE POLYMER TECHNOLOGIES AND APPLICATIONS</t>
  </si>
  <si>
    <t>Silicon is a promising material for anodes in future generations of LIBs. However, its volume changes during the lithiation/delithiation process that degrades battery performance, making it an impractical alternative. To mitigate this issue, we have found a viable alternate solution, which is the preparation of adamantane-polyacrylic acid (AdEN-AA) and beta-cyclodextrin-polyacrylic acid (beta CD6A-AA) polymers as supramolecular binders. The advantage of these binders is that polymers leverage host-guest interactions. To carry out this research, we prepared the anode materials in water and in NMP, and then we studied their capacity to crosslink and gel. Additionally, we examined the extent of the supramolecular interaction vs. hydrogen bond. Thermogravimetric analysis showed that the thermal stability of the mixture of complementary polymer increased in the following order: AdEN-AA/beta CD6A-AA in NMP &lt; beta CD6A-AA/PAA &lt; AdEN-AA/beta CD6A-AA, with the latter two in water. Accordingly, the anode material prepared in water shows the highest stability, retaining capacities of over 1000 mAhg(-1) after 90 cycles vs. 279 mAhg-1 of the electrode prepared in NMP. The results agreed with the SEM micrographs of the anode material, in which the slurry prepared in water showed better integrity of the silicon nanoparticles and of solid electrolyte interphase than the slurry prepared in NMP.</t>
  </si>
  <si>
    <t>Oyarzun, Diego/MTF-4062-2025; Martin Trasancos, Rudy/ITV-2921-2023</t>
  </si>
  <si>
    <t>Ortiz, Mariela Gisela/0000-0003-4269-0321; Sepulveda, Andres/0000-0002-3687-2922</t>
  </si>
  <si>
    <t>2666-8939</t>
  </si>
  <si>
    <t>10.1016/j.carpta.2023.100414</t>
  </si>
  <si>
    <t>WOS:001155384600001</t>
  </si>
  <si>
    <t>Kumar, C; Kashyap, V; Shrivastav, M; Guzman, F; Singh, DP; Saxena, K</t>
  </si>
  <si>
    <t>Kumar, Chandra; Kashyap, Vikas; Shrivastav, Monika; Guzman, Fernando; Singh, Dinesh Pratap; Saxena, Kapil</t>
  </si>
  <si>
    <t>In-depth opto-electrical analysis of Ni:CdS film towards the performance as Ag/Ni:CdS/FTO Schottky diode</t>
  </si>
  <si>
    <t>OPTICAL MATERIALS</t>
  </si>
  <si>
    <t>Nickel doped cadmium sulfide (Ni:CdS) thin films are deposited onto glass and FTO substrate using spray pyrolysis technique. The effect of annealing temperature on the thin films and its morphological, microstructural, optical dispersion, linear-nonlinear and electrical, properties are extensively investigated by using various techniques such as field emission scanning electron microscope (FESEM) and atomic force microscopy (AFM), Xray diffraction (XRD) and ultraviolet visible (UV-VIS) diffuse reflectance spectroscopy. Morphological studies revealed that doped thin films surface is almost homogeneous and well-covered. Peaks associated with Ni, Cd and S elements are present in EDS analysis, which confirm the composition of the films. The energy band calculation using the Tauc plot from the recorded absorption spectra reveals the decrement in the energy gap from 3.75 eV to 3.61 eV and the refractive index is in the range of 2.57-2.62. The effect of annealing temperature on complex dielectric constant are also analyzed. Moreover, the dispersion of refractive index is calculated in terms of Wemple-DiDomenico approach. Third order susceptibility and nonlinear refractive index are calculated of Ni:CdS films. The designed Ag/Ni:CdS/FTO Schottky diode is tested under illumination conditions, and the empirical diode parameters, viz. ideality factor, barrier height, series resistance etc. are influenced by annealing temperature.</t>
  </si>
  <si>
    <t>Singh, Dinesh/A-2509-2011</t>
  </si>
  <si>
    <t>0925-3467</t>
  </si>
  <si>
    <t>1873-1252</t>
  </si>
  <si>
    <t>10.1016/j.optmat.2023.114226</t>
  </si>
  <si>
    <t>WOS:001063289900001</t>
  </si>
  <si>
    <t>Garcia-Hermoso, A; Correa-Bautista, JE; Izquierdo, M; Tordecilla-Sanders, A; Prieto-Benavides, D; Sandoval-Cuellar, C; González-Ruíz, K; Ramírez-Vélez, R</t>
  </si>
  <si>
    <t>Garcia-Hermoso, Antonio; Enrique Correa-Bautista, Jorge; Izquierdo, Mikel; Tordecilla-Sanders, Alejandra; Prieto-Benavides, Daniel; Sandoval-Cuellar, Carolina; Gonzalez-Ruiz, Katherine; Ramirez-Velez, Robinson</t>
  </si>
  <si>
    <t>Ideal Cardiovascular Health, Handgrip Strength, and Muscle Mass Among College Students: The FUPRECOL Adults Study</t>
  </si>
  <si>
    <t>JOURNAL OF STRENGTH AND CONDITIONING RESEARCH</t>
  </si>
  <si>
    <t>Garcia-Hermoso, A, Correa-Bautista, JE, Izquierdo, M, Tordecilla-Sanders, A, Prieto-Benavides, D, Sandoval-Cuellar, C, Gonzalez-Ruiz, K, and Ramirez-Velez, R. Ideal cardiovascular health, handgrip strength, and muscle mass among college students: the FUPRECOL Adults study. J Strength Cond Res 33(3): 747-754, 2019-The American Heart Association established the 2020 Strategic Impact Goals to define the concept of ideal cardiovascular health (CVH) and the metrics needed to monitor it across populations. The purpose of this study was to investigate the relationship between handgrip strength, muscle mass, and ideal CVH among Colombian college students. Data from 1,835 college students were analyzed (1,128 female). Muscular strength was estimated using a hand-held dynamometer and normalized to body mass (normalized grip strength [NGS]). The percentage of body fat was determined for bioelectrical impedance analysis using tetrapolar whole-body impedance. Ideal CVH was defined as meeting the ideal levels of 4 behaviors (smoking, body mass index, physical activity, and diet adherence) and 3 factors (total cholesterol, fasting glucose, and blood pressure). Higher levels of NGS and muscle mass (relative to body mass) were associated with a higher number of ideal CVH metrics in both sexes (p for trend &lt;0.001). For the total ideal CVH metrics scored on a continuous scale from 0 (all 7 poor) to 7 (all 7 ideal), a 1-metric increase was associated with reduced odds of weak NGS (33 and 36%) and low-medium muscle mass (28 and 34%) mass in men and women, respectively (all p &lt; 0.001). This study indicates that in Colombian college students, both handgrip strength and muscle mass are positively associated with the ideal CVH metrics. To reduce the possible future public health burden of muscular weakness, health professionals need to encourage the public to optimize lifestyle-related risk factors during the young adult stage.</t>
  </si>
  <si>
    <t>González-Ruíz, Katherine/CAA-4624-2022; García-Hermoso, Antonio/ADU-2591-2022; Sandoval-Cuellar, Carolina/AAP-8957-2021; Correa-Bautista, Jorge Enrique/JDD-3131-2023; Izquierdo, Mikel/A-4894-2010; Garcia-Hermoso, Antonio/P-1857-2017; Tordecilla-Sanders, Alejandra/O-6276-2017; Ramirez-Velez, Robinson/D-5311-2016; Correa-Bautista, Jorge Enrique/N-2741-2015</t>
  </si>
  <si>
    <t>Izquierdo, Mikel/0000-0002-1506-4272; Gonzalez-Ruiz, Katherine/0000-0001-7518-0761; Garcia-Hermoso, Antonio/0000-0002-1397-7182; Tordecilla-Sanders, Alejandra/0000-0002-7461-8124; Ramirez-Velez, Robinson/0000-0003-3075-6960; Correa-Bautista, Jorge Enrique/0000-0002-0646-2316</t>
  </si>
  <si>
    <t>1064-8011</t>
  </si>
  <si>
    <t>1533-4287</t>
  </si>
  <si>
    <t>10.1519/JSC.0000000000003052</t>
  </si>
  <si>
    <t>WOS:000463234800019</t>
  </si>
  <si>
    <t>Ortega, FZ; Sánchez, MC; Cuberos, RC; Zagalaz, JC; Bolados, CC; Knox, E; Muros, JJ</t>
  </si>
  <si>
    <t>Zurita Ortega, Felix; Castro Sanchez, Manuel; Chacon Cuberos, Ramon; Cachon Zagalaz, Javier; Cofre Bolados, Cristian; Knox, Emily; Joaquin Muros, Jose</t>
  </si>
  <si>
    <t>Analysis of the Psychometric Properties of Perceived Motivational Climate in Sport Questionnaire and Its Relationship to Physical Activity and Gender Using Structural Equation Modelling</t>
  </si>
  <si>
    <t>(1) Background: Different authors have established that each type of motivation to sports can favor healthy habits in men and women, being important to promote more self-determined motivations. (2) Methods: The present study was designed to assess selected psychometric properties of the Perceived Motivational Climate in Sport Questionnaire and study the relationship between motivational climate, physical activity and gender in adolescents. Research was conducted with a sample of 2134 Spanish children (12.5 +/- 1.4 years). (3) Results: The final scale was formed of two factors. The fit of factor 1 (ego climate) was 0.867, the fit for factor 2 was 0.851 (task climate) and the overall fit was 0.765. Structural equation modelling identified a negative relationship between ego climate and task climate. This relationship was strong in women. A direct relationship was found between the ego climate and task climate in relation to physical activity in men and women. Nevertheless, this positive relationship was stronger in men. (4) Conclusions: PMCSQ-2 test is a good instrument to measure the motivation towards sports practice. Moreover, it is important to promote adaptive types of motivation in physical education classes in order to generate pleasure for learning and long-term physical activity engagement.</t>
  </si>
  <si>
    <t>Knox, Emily/Q-4558-2018; Sanchez, Maria/JXW-7592-2024; Muros, José/Q-9540-2019; Knox, Emily/H-6310-2013; ZURITA, FELIX/I-9017-2017; Chacon Cuberos, Ramon/H-7507-2017</t>
  </si>
  <si>
    <t>Knox, Emily/0000-0001-8155-9428; ZURITA, FELIX/0000-0002-1189-894X; Muros Molina, Jose Joaquin/0000-0001-7573-0399; Chacon Cuberos, Ramon/0000-0003-0937-1089</t>
  </si>
  <si>
    <t>10.3390/su10030632</t>
  </si>
  <si>
    <t>WOS:000428567100059</t>
  </si>
  <si>
    <t>Duron, Q; Jiménez, JE; Vergara, PM; Soto, GE; Lizama, M; Rozzi, R</t>
  </si>
  <si>
    <t>Duron, Quiterie; Jimenez, Jaime E.; Vergara, Pablo M.; Soto, Gerardo E.; Lizama, Marlene; Rozzi, Ricardo</t>
  </si>
  <si>
    <t>Intersexual segregation in foraging microhabitat use by Magellanic Woodpeckers (Campephilus magellanicus): Seasonal and habitat effects at the world's southernmost forests</t>
  </si>
  <si>
    <t>AUSTRAL ECOLOGY</t>
  </si>
  <si>
    <t>Animals facing seasonal food shortage and habitat degradation may adjust their foraging behaviour to reduce intraspecific competition. In the harsh environment of the world's southernmost forests in the Magellanic sub-Antarctic ecoregion in Chile, we studied intersexual foraging differences in the largest South American woodpecker species, the Magellanic Woodpecker (Campephilus magellanicus). We assessed whether niche overlap between males and females decrease when food resources are less abundant or accessible, that is, during winter and in secondary forests, compared to summer and in old-growth forests, respectively. We analysed 421 foraging microhabitat observations from six males and six females during 2011 and 2012. As predicted, the amount of niche overlap between males and females decreased during winter, when provisioning is more difficult. During winter, males and females (i) used trees with different diameter at breast height (DBH); (ii) fed in trunk sections with different diameters; and (iii) fed at different heights on tree trunks or branches. Vertical niche partitioning between sexes was found in both old-growth and secondary forests. Such a niche partitioning during winter may be a seasonal strategy to avoid competition between sexes when prey resources are less abundant or accessible. Our results suggest that the conservation of this forest specialist, dimorphic and charismatic woodpecker species requires considering differences in habitat use between males and females.</t>
  </si>
  <si>
    <t>Soto, Gerardo/JAX-4165-2023; Vergara, Pablo/F-2519-2010; Jimenez, Jaime/AAO-7531-2020; Rozzi, Ricardo/G-1047-2012</t>
  </si>
  <si>
    <t>Soto, Gerardo/0000-0002-9706-6588; Rozzi, Ricardo/0000-0001-5265-8726; Vergara, Pablo/0000-0002-0024-1678</t>
  </si>
  <si>
    <t>1442-9985</t>
  </si>
  <si>
    <t>1442-9993</t>
  </si>
  <si>
    <t>10.1111/aec.12531</t>
  </si>
  <si>
    <t>WOS:000427969700003</t>
  </si>
  <si>
    <t>Pinto, MP; Arce, M; Yameen, B; Vilos, C</t>
  </si>
  <si>
    <t>Pinto, Mauricio P.; Arce, Maximiliano; Yameen, Basit; Vilos, Cristian</t>
  </si>
  <si>
    <t>Targeted brain delivery nanoparticles for malignant gliomas</t>
  </si>
  <si>
    <t>NANOMEDICINE</t>
  </si>
  <si>
    <t>Brain tumors display the highest mortality rates of all childhood cancers, and over the last decade its prevalence has steadily increased in elderly. To date, effective treatments for brain tumors and particularly for malignant gliomas remain a challenge mainly due to the low permeability and high selectivity of the blood-brain barrier (BBB) to conventional anticancer drugs. In recent years, the elucidation of the cellular mechanisms involved in the transport of substances into the brain has boosted the development of therapeutic-targeted nanoparticles (NPs) with the ability to cross the BBB. Here, we present a comprehensive overview of the available therapeutic strategies developed against malignant gliomas based on 'actively targeted' NPs, the challenges of crossing the BBB and blood-brain tumor barrier as well as its mechanisms and a critical assessment of clinical studies that have used targeted NPs for the treatment of malignant gliomas. Finally, we discuss the potential of actively targeted NP-based strategies in clinical settings, its possible side effects and future directions for therapeutic applications.</t>
  </si>
  <si>
    <t>Yameen, Basit/AAX-7543-2021; Ortiz, Cristian/F-9162-2014; Arce, Maximiliano/MTF-2639-2025; Pinto, Mauricio P./HCH-2145-2022</t>
  </si>
  <si>
    <t>Vilos, Cristian/0000-0001-5619-3348; Pinto, Mauricio P./0000-0003-2484-8033</t>
  </si>
  <si>
    <t>1743-5889</t>
  </si>
  <si>
    <t>1748-6963</t>
  </si>
  <si>
    <t>10.2217/nnm-2016-0307</t>
  </si>
  <si>
    <t>WOS:000395673300007</t>
  </si>
  <si>
    <t>Maldonado, T; Gómez-Arteaga, B; Lodeiro, L; Aravena, A; Jara, G; Vega, A; Ferraudi, G; Gómez, A; Gallardo-Fuentes, S</t>
  </si>
  <si>
    <t>Maldonado, Tamara; Gomez-Arteaga, Belen; Lodeiro, Lucas; Aravena, Alberto; Jara, Geraldine; Vega, Andres; Ferraudi, Guillermo; Gomez, Alejandra; Gallardo-Fuentes, Sebastian</t>
  </si>
  <si>
    <t>Exploring Bonding Properties and Photophysical Behavior of Naphthoquinone-Based Rhenium(I) Tricarbonyl Complexes: A Combined Experimental and Theoretical Approach</t>
  </si>
  <si>
    <t>In this work, we describe the synthesis, characterization, and spectroscopic properties of four new rhenium(I) tricarbonyl complexes bearing a pyridyl imidazole-naphthoquinone (Py-Im-Nq) ligand. The spectroscopic, X-ray, and electrochemical analyses confirm the formation of neutral complexes in all cases. Although the Py-Im-Nq ligand possesses two distinct chelating fragments, we observed a selective formation of the N,N-isomer rather than the N,O-coordination. EDA calculations revealed that the origin of the N,N-linkage isomerism results from more favorable electrostatic interactions present in the N,N-coordination. Furthermore, EDA-NOCV analysis indicated that the bonding situation in these complexes can be described by the Dewar-Chatt-Duncanson model, providing a quantitative characterization of the donation and back-donation interaction components in these complexes. Finally, we examined the spectroscopic behavior (UV-vis and photoluminescence) of these new rhenium(I) complexes in solution. The characterization of the excited states was performed using TD-DFT and density difference isosurfaces. It was found that, in contrast to typical fac-[Re(NN)(CO)3L]0/+ systems, the low-lying transitions exhibit intraligand (IL) character, with charge transfer predominantly occurring from the imidazole ring to the carbonyl group in the quinone moiety. In contrast, a mixed metal-to-ligand charge transfer (MLCT)/IL transition is assigned to the electronic excitation at shorter wavelengths.</t>
  </si>
  <si>
    <t>Gomez-Arteaga, Belen/0009-0005-8140-8298</t>
  </si>
  <si>
    <t>FEB 11</t>
  </si>
  <si>
    <t>10.1021/acs.inorgchem.4c04987</t>
  </si>
  <si>
    <t>WOS:001418202300001</t>
  </si>
  <si>
    <t>Romo, AIB; Carepo, MP; Levín, P; Nascimento, OR; Díaz, DE; Rodríguez-López, J; León, IE; Bezerra, LF; Lemus, L; Diógenes, ICN</t>
  </si>
  <si>
    <t>Romo, Adolfo I. B.; Carepo, Marta P.; Levin, Pedro; Nascimento, Otaciro R.; Diaz, Daniel E.; Rodriguez-Lopez, Joaquin; Leon, Ignacio E.; Bezerra, Lucas F.; Lemus, Luis; Diogenes, Izaura C. N.</t>
  </si>
  <si>
    <t>Synergy of DNA intercalation and catalytic activity of a copper complex towards improved polymerase inhibition and cancer cell cytotoxicity</t>
  </si>
  <si>
    <t>Improving the binding of metal complexes to DNA to boost cancer cell cytotoxicity requires fine tuning of their structural and chemical properties. Copper has been used as a metal center in compounds containing intercalating ligands due to its ability to catalytically generate reactive oxygen species (ROS), such as hydroxyl radicals (OH). We envision the synergy of DNA binding and ROS generation in proximity to target DNA as a powerful chemotherapy treatment. Here, we explore the use of [Cu(2CP-Bz-SMe)](2+) (2CP-Bz-SMe = 1,3-bis(1,10-phenanthrolin-2-yloxy)-N-(4-(methylthio)benzylidene)propan-2-amine) for this purpose by characterizing its cytotoxicity, DNA binding, and ability to affect DNA replication through the polymerase chain reaction - PCR and nuclease assays. We determined the binding (K-b) and Stern-Volmer constants (K-SV) for complex-DNA association of 5.8 +/- 0.14 x 10(4) and 1.64 (+/- 0.08), respectively, through absorption titration and competitive fluorescence experiments. These values were superior to those of other Cu-complex intercalators. We hypothesize that the distorted trigonal bipyramidal geometry of [Cu(2CP-Bz-SMe)](2+) allows the phenanthroline fragments to be better accommodated into the DNA double helix. Moreover, the aromaticity of these fragments increases the local hydrophobicity thus increasing the affinity for the hydrophobic domains of DNA. Nuclease assays in the presence of common reducing agents ascorbic acid, nicotinamide adenine dinucleotide, and glutathione showed the effective degradation of DNA due to the in situ generation of OH. The [Cu(2CP-Bz-SMe)](2+) complex showed cytotoxicity against the following human cancer cells lines A549, MCF-7, MDA-MB-231 and MG-63 with half maximal inhibitory concentration (IC50) values of 4.62 +/- 0.48, 5.20 +/- 0.76, 5.70 +/- 0.42 and 2.88 +/- 0.66 mu M, respectively. These low values of IC50, which are promising if compared to that of cisplatin, are ascribed to the synergistic effect of ROS generation with the intercalation ability into the DNA minor grooves and blocking DNA replication. This study introduces new principles for synergizing the chemical and structural properties of intercalation compounds for improved drug-DNA interactions targeting cancer.</t>
  </si>
  <si>
    <t>Levín, Pedro/ABG-4500-2020; Diogenes, Izaura/H-6156-2012; Nascimento, Otaciro/F-2794-2019; Carepo, Marta/D-7196-2013; leon, i/GZL-2093-2022; Romo, Adolfo/ABH-1261-2020</t>
  </si>
  <si>
    <t>LEMUS, LUIS/0000-0002-5499-8115; Barros Romo, Adolfo Ignacio/0000-0002-9288-2420; Rodriguez-Lopez, Joaquin/0000-0003-4346-4668; Levin, Pedro/0000-0001-5932-9001; Diaz, Daniel E./0000-0001-8202-920X; Carepo, Marta/0000-0003-3222-8141</t>
  </si>
  <si>
    <t>SEP 14</t>
  </si>
  <si>
    <t>10.1039/d1dt01358k</t>
  </si>
  <si>
    <t>WOS:000683441500001</t>
  </si>
  <si>
    <t>Alfaro, M; Muñoz-Godoy, D; Vargas, M; Fuertes, G; Duran, C; Ternero, R; Sabattin, J; Gutierrez, S; Karstegl, N</t>
  </si>
  <si>
    <t>Alfaro, Miguel; Munoz-Godoy, Diego; Vargas, Manuel; Fuertes, Guillermo; Duran, Claudia; Ternero, Rodrigo; Sabattin, Jorge; Gutierrez, Sebastian; Karstegl, Natalia</t>
  </si>
  <si>
    <t>National Health Systems and COVID-19 Death Toll Doubling Time</t>
  </si>
  <si>
    <t>Coronavirus disease 2019 (COVID-19) has placed stress on all National Health Systems (NHSs) worldwide. Recent studies on the disease have evaluated different variables, namely, quarantine models, mitigation efforts, damage to mental health, mortality of the population with chronic diseases, diagnosis, use of masks and social distancing, and mortality based on age. This study focused on the four NHSs recognized by the WHO. These systems are as follows: (1) The Beveridge model, (2) the Bismarck model, (3) the National Health Insurance (NHI) model, and (4) the Out-of-Pocket  model. The study analyzes the response of the health systems to the pandemic by comparing the time in days required to double the number of disease-related deaths. The statistical analysis was limited to 56 countries representing 70% of the global population. Each country was grouped into the health system defined by the WHO. The study compared the median death toll DT, between health systems using Mood's median test method. The results show high variability of the temporal trends in each group; none of the health systems for the three analyzed periods maintain stable interquartile ranges (IQRs). Nevertheless, the results obtained show similar medians between the study groups. The COVID-19 pandemic saturates health systems regardless of their management structures, and the result measured with the time for doubling death rate variable is similar among the four NHSs.</t>
  </si>
  <si>
    <t>Karstegl, Natalia/JGE-3538-2023; vargas, manuel/AAG-4780-2020; Duran, Claudia/S-1175-2019; Sabattin, Jorge/P-2589-2019; Karstegl Villalobos, Natalia Francisca/HRE-1990-2023; Fuertes, Guillermo/Q-2341-2016</t>
  </si>
  <si>
    <t>Sabattin, Jorge/0000-0003-0270-6560; Karstegl Villalobos, Natalia Francisca/0000-0002-2291-6226; Fuertes, Guillermo/0000-0003-3044-5919; Vargas Guzman, Manuel Eduardo/0000-0003-4161-6621; Gutierrez Lillo, Sebastian/0000-0003-3714-0632</t>
  </si>
  <si>
    <t>10.3389/fpubh.2021.669038</t>
  </si>
  <si>
    <t>WOS:000679238200001</t>
  </si>
  <si>
    <t>Solorza, J; Oliva, CA; Castillo, K; Amestica, G; Maldifassi, MC; López-Cortés, XA; Barra, R; Stehberg, J; Piesche, M; Sáez-Briones, P; González, W; Arenas-Salinas, M; Mariqueo, TA</t>
  </si>
  <si>
    <t>Solorza, Jocelyn; Oliva, Carolina A.; Castillo, Karen; Amestica, Gabriela; Maldifassi, Maria Constanza; Lopez-Cortes, Xaviera A.; Barra, Rafael; Stehberg, Jimmy; Piesche, Matthias; Saez-Briones, Patricio; Gonzalez, Wendy; Arenas-Salinas, Mauricio; Mariqueo, Trinidad A.</t>
  </si>
  <si>
    <t>Effects of Interleukin-1β in Glycinergic Transmission at the Central Amygdala</t>
  </si>
  <si>
    <t>Interleukin-1 beta (IL-1 beta) is an important cytokine that modulates peripheral and central pain sensitization at the spinal level. Among its effects, it increases spinal cord excitability by reducing inhibitory Glycinergic and GABAergic neurotransmission. In the brain, IL-1 beta is released by glial cells in regions associated with pain processing during neuropathic pain. It also has important roles in neuroinflammation and in regulating NMDA receptor activity required for learning and memory. The modulation of glycine-mediated inhibitory activity via IL-1 beta may play a critical role in the perception of different levels of pain. The central nucleus of the amygdala (CeA) participates in receiving and processing pain information. Interestingly, this nucleus is enriched in the regulatory auxiliary glycine receptor (GlyR) beta subunit (beta GlyR); however, no studies have evaluated the effect of IL-1 beta on glycinergic neurotransmission in the brain. Hence, we hypothesized that IL-1 beta may modulate GlyR-mediated inhibitory activity via interactions with the beta GlyR subunit. Our results show that the application of IL-1 beta (10 ng/ml) to CeA brain slices has a biphasic effect; transiently increases and then reduces sIPSC amplitude of CeA glycinergic currents. Additionally, we performed molecular docking, site-directed mutagenesis, and whole-cell voltage-clamp electrophysiological experiments in HEK cells transfected with GlyRs containing different GlyR subunits. These data indicate that IL-1 beta modulates GlyR activity by establishing hydrogen bonds with at least one key amino acid residue located in the back of the loop C at the ECD domain of the beta GlyR subunit. The present results suggest that IL-1 beta in the CeA controls glycinergic neurotransmission, possibly via interactions with the beta GlyR subunit. This effect could be relevant for understanding how IL-1 beta released by glia modulates central processing of pain, learning and memory, and is involved in neuroinflammation.</t>
  </si>
  <si>
    <t>Oliva, Carolina/AAF-3887-2019; lopez, xaviera/R-1027-2019; stehberg, jimmy/JVZ-2690-2024; Arenas, Mauricio/NBW-8966-2025; Piesche, Matthias/K-3172-2017</t>
  </si>
  <si>
    <t>Castillo, Karen/0000-0003-0353-7025; Solorza Marquez, Jocelyn Constanza/0000-0002-3208-104X; lopez cortes, xaviera/0000-0002-7514-8777; Stehberg, Jimmy/0000-0001-7897-9552; Piesche, Matthias/0000-0002-9050-1946; Oliva, Carolina/0000-0002-5917-9856</t>
  </si>
  <si>
    <t>10.3389/fphar.2021.613105</t>
  </si>
  <si>
    <t>WOS:000630340400001</t>
  </si>
  <si>
    <t>Rezende, LFM; Lee, DH; Ferrari, G; Giovannucci, E</t>
  </si>
  <si>
    <t>Rezende, Leandro F. M.; Lee, Dong Hoon; Ferrari, Gerson; Giovannucci, Edward</t>
  </si>
  <si>
    <t>Confounding due to pre-existing diseases in epidemiologic studies on sedentary behavior and all-cause mortality: a meta-epidemiologic study</t>
  </si>
  <si>
    <t>ANNALS OF EPIDEMIOLOGY</t>
  </si>
  <si>
    <t>Purpose: We examined the influence of confounding due to pre-existing diseases in prospective studies on sedentary behavior and all-cause mortality. Methods: We analyzed 25 studies included in systematic reviews. The risk of confounding due to pre-existing diseases was assessed by five methodologic characteristics. Results: Sedentary behavior was associated with higher all-cause mortality. Studies with short average follow-up length had stronger magnitudes of association: 1 to less than 5 years (hazard ratio [HR], 1.58; 95% confidence interval [CI], 1.28-1.94), 5 to 9 years (HR, 1.24; 95% CI, 1.16-1.31), and 10 years or more of follow-up (HR, 1.20; 95% CI, 1.10-1.31). Studies that did not adjust for diseases at baseline, did not exclude deaths in the first years of follow-up, and did not exclude participants with diseases/conditions showed stronger associations. Studies with higher risk of confounding because of pre-existing diseases (HR, 1.40; 95% CI, 1.27-1.54) showed stronger association than lower risk studies (HR, 1.18; 95% CI, 1.10-1.27). Studies excluding participants with diseases at baseline had weaker associations compared with studies adjusting for diseases in models. Conclusions: Sedentary behavior was associated with increased all-cause mortality, although confounding due to pre-existing diseases may bias the magnitude of the association. (C) 2020 Elsevier Inc. All rights reserved.</t>
  </si>
  <si>
    <t>Giovannucci, Edward/ADE-8028-2022; Ferrari, Gerson/ABG-6635-2021; Ferrari, Gerson/P-1152-2014; Rezende, Leandro/C-1724-2012</t>
  </si>
  <si>
    <t>Ferrari, Gerson/0000-0003-3177-6576; Rezende, Leandro/0000-0002-7469-1399; Lee, Dong Hoon/0000-0003-1329-4637</t>
  </si>
  <si>
    <t>1047-2797</t>
  </si>
  <si>
    <t>1873-2585</t>
  </si>
  <si>
    <t>10.1016/j.annepidem.2020.09.009</t>
  </si>
  <si>
    <t>WOS:000601303400002</t>
  </si>
  <si>
    <t>Pulido-Arjona, L; Correa-Bautista, JE; Agostinis-Sobrinho, C; Mota, J; Santos, R; Correa-Rodríguez, M; Garcia-Hermoso, A; Ramírez-Vélez, R</t>
  </si>
  <si>
    <t>Pulido-Arjona, Leonardo; Enrique Correa-Bautista, Jorge; Agostinis-Sobrinho, Cesar; Mota, Jorge; Santos, Rute; Correa-Rodriguez, Maria; Garcia-Hermoso, Antonio; Ramirez-Velez, Robinson</t>
  </si>
  <si>
    <t>Role of sleep duration and sleep-related problems in the metabolic syndrome among children and adolescents</t>
  </si>
  <si>
    <t>ITALIAN JOURNAL OF PEDIATRICS</t>
  </si>
  <si>
    <t>Background: There is increasing recognition that sleep is a risk factor for metabolic syndrome (MetS). The aim of the present study was to analyze the relationship between self-reported sleep duration, sleep-related problems and the presence of MetS in children and adolescents from Bogota, D.C., Colombia. Methods: This is a cross-sectional analysis from the FUPRECOL study (2014-15). Participants included 2779 (54.2% girls) youth from Bogota (Colombia). MetS was defined as the presence of &gt;= 3 of the metabolic abnormalities (hyperglycemia, hypertriglyceridemia, low high-density lipoprotein cholesterol [HDL-c], hypertension, and increased waist circumference) according to the criteria of de Ferranti/Magge and colleges. Self-reported sleep duration and sleep-related problems were assessed with the BEARS questionnaire. Results: Logistic regression analysis showed that boys who meet recommended duration of sleep had a decreased risk of elevated blood glucose levels (Odds Ratio [OR] = 0.71, 95% CI [0.40-0.94]; p = 0.031) compared to boys who have short-long sleep duration. Also, compared to young without sleep problems, excessive sleepiness during the day was related to low HDL-c levels in boys (OR = 1.36, 95% CI [1.02-1.83]; p = 0.036) and high triglyceride levels in girls (OR = 1.28, 95% CI [1.01-1.63]; p = 0.045). Girls with irregular sleep patterns had decreased HDL-c levels (OR = 0. 71, 95% CI [0.55-0.91]; p = 0.009). Conclusions: Recommended sleep duration was associated with a decreased risk of elevated fasting glucose levels in boys, and sleep problems was related to lower HDL-c in girls and higher triglyceride levels in boys. These findings suggested the clinical importance of improving sleep hygiene to reduce metabolic risk factors in children and adolescents.</t>
  </si>
  <si>
    <t>García-Hermoso, Antonio/ADU-2591-2022; Correa-Bautista, Jorge Enrique/JDD-3131-2023; Correa-Rodriguez, Maria/G-1793-2018; Santos, Rute/A-6401-2012; Correa-Bautista, Jorge Enrique/N-2741-2015; Agostinis Sobrinho, Cesar Aparecido/B-4971-2018; Ramirez-Velez, Robinson/D-5311-2016; Garcia-Hermoso, Antonio/P-1857-2017; mota, jorge/B-2980-2013</t>
  </si>
  <si>
    <t>Correa-Rodriguez, Maria/0000-0001-9165-4349; Santos, Rute/0000-0002-7604-5753; Correa-Bautista, Jorge Enrique/0000-0002-0646-2316; Agostinis Sobrinho, Cesar Aparecido/0000-0001-9104-9042; Ramirez-Velez, Robinson/0000-0003-3075-6960; Garcia-Hermoso, Antonio/0000-0002-1397-7182; mota, jorge/0000-0001-7571-9181</t>
  </si>
  <si>
    <t>1720-8424</t>
  </si>
  <si>
    <t>1824-7288</t>
  </si>
  <si>
    <t>10.1186/s13052-018-0451-7</t>
  </si>
  <si>
    <t>WOS:000419981500003</t>
  </si>
  <si>
    <t>Reyes-Bozo, L; Fúnez-Guerra, C; Salazar, JL; Vyhmeister, E; Valdés-González, H; Caparrós, MJ; Clemente-Jul, C; Carro-de Lorenzo, F; de Simón-Martín, M</t>
  </si>
  <si>
    <t>Reyes-Bozo, Lorenzo; Funez-Guerra, Carlos; Luis Salazar, Jose; Vyhmeister, Eduardo; Valdes-Gonzalez, Hector; Jaen Caparros, Maria; Clemente-Jul, Carmen; Carro-de Lorenzo, Francisco; de Simon-Martin, Miguel</t>
  </si>
  <si>
    <t>Green hydrogen integration in aluminum recycling: Techno-economic analysis towards sustainability transition in the expanding aluminum market</t>
  </si>
  <si>
    <t>ENERGY CONVERSION AND MANAGEMENT-X</t>
  </si>
  <si>
    <t>The use of aluminum-based products is widespread and growing, particularly in industries such as automotive, food packaging, and construction. Obtaining aluminum is expensive and energy-intensive, making the recycling of existing products essential for economic and environmental viability. This work explores the potential of using green hydrogen as a replacement for natural gas in the smelting and refining furnaces in aluminum recycling facilities. The adoption of green hydrogen has the potential to curtail approximately 4.54 ktons/year of CO2 emissions, rendering it a sustainable and economically advantageous solution. The work evaluates the economic viability of a case study through assessing the Net Present Value (NPV) and the Internal Rate of Return (IRR). Furthermore, it is employed single- and multi-parameter sensitivity analyses to obtain insight on the most relevant conditions to achieve economic viability. Results demonstrate that integrating on-site green hydrogen generation yields a favorable NPV of euro57,370, an IRR of 9.83%, and a 19.63-year payback period. The primary factors influencing NPV are the initial electricity consumption stack and the H2 price.</t>
  </si>
  <si>
    <t>Salazar, Jose/KHC-7260-2024; de-Simón-Martín, Miguel/K-8452-2014</t>
  </si>
  <si>
    <t>SALAZAR, JOSE LUIS/0000-0002-9922-9424; Valdes Gonzalez, Hector/0009-0007-2010-886X</t>
  </si>
  <si>
    <t>2590-1745</t>
  </si>
  <si>
    <t>10.1016/j.ecmx.2024.100548</t>
  </si>
  <si>
    <t>WOS:001202784800001</t>
  </si>
  <si>
    <t>Valenzuela-Fuenzalida, JJ; Martínez-Hernández, D; Pérez-Jiménez, D; Baeza, PN; Becerra-Farfan, A; Orellana-Donoso, M; Mejias, AB; Syed, QH; Luengo, MR; Iwanaga, J</t>
  </si>
  <si>
    <t>Valenzuela-Fuenzalida, Juan Jose; Martinez-Hernandez, Daniela; Perez-Jimenez, Daniela; Baeza, Pablo Nova; Becerra-Farfan, Alvaro; Orellana-Donoso, Mathias; Mejias, Alejandro Bruna; Syed, Qareen Hania; Luengo, Macarena Rodriguez; Iwanaga, Joe</t>
  </si>
  <si>
    <t>Prevalence and Clinical Consideration of Anatomical Variants of the Splenic Artery: A Systematic Review and Meta-Analysis</t>
  </si>
  <si>
    <t>Background: The spleen is the largest secondary immune organ in the body. Knowledge regarding the normal splenic vascular anatomy and its anatomical variants is crucial in the medical practice of surgeons and radiologists and is useful for diagnostic evaluations and the guidance of various surgical procedures. Hence, in this research, we aim to characterize the behavior of the lineal or splenic artery in humans from an anatomoclinical point of view. Methods: A systematic search was carried out in electronic databases to compile the available literature on the research subject. Searches were undertaken in the following databases: Medline, Scielo, Wos, Cinahl, Scopus, and Google Scholar. The search terms were Splenic artery, Splenic vascularization, Anatomical variations'', Splenic organ, and Clinical anatomy. Results: From the 35 studies included in this review, clinical correlations of anatomical variations in the splenic artery with surgical procedures in the abdominal region were reported in 8 studies. These correlations are mainly associated with surgical procedures for the pancreas, liver, stomach, and bile ducts through imaging of the spleen. To verify our conclusions, the risk of bias of the anatomical studies was measured using the AQUA checklist. Conclusions: Recognition of the usual anatomy and anatomical variants of the splenic artery is crucial for both morphology professionals and clinicians addressing the abdominal region and its vascular components. In this review, we determined that the splenic artery could present a variation in its origin or entry into the splenic hilum, which could mean that in any abdominal intervention there may be complications if the splenic artery variation is overlooked. More anatomic clinical studies considering this variation in both diagnostic and surgical processes are suggested for further investigations.</t>
  </si>
  <si>
    <t>Becerra, Alvaro/JAO-5119-2023; Iwanaga, Joe/ABC-7040-2021; Bruna, Alejandro/AAZ-7082-2020</t>
  </si>
  <si>
    <t>Bruna, Alejandro/0000-0002-7697-419X; Valenzuela, Juan/0000-0002-7634-012X; NOVA BAEZA, PABLO IGNACIO/0000-0003-0098-0224; Rodriguez, Macarena/0000-0003-3042-5539; Becerra, Alvaro/0000-0001-8182-6135</t>
  </si>
  <si>
    <t>10.3390/app13063510</t>
  </si>
  <si>
    <t>WOS:000968470400001</t>
  </si>
  <si>
    <t>Honarvar, B; Sajadian, SA; Rojas, A; Galotto, MJ; Jouyban, A</t>
  </si>
  <si>
    <t>Honarvar, Bizhan; Sajadian, Seyed Ali; Rojas, Adrian; Galotto, Maria Jose; Jouyban, Abolghasem</t>
  </si>
  <si>
    <t>Solubility and thermodynamic modeling of sildenafil citrate in supercritical carbon dioxide</t>
  </si>
  <si>
    <t>FLUID PHASE EQUILIBRIA</t>
  </si>
  <si>
    <t>Determining the solubility of drugs in supercritical carbon dioxide (SC-CO2) is crucial to select an adequate SC-CO2 assisted technique (e.g., supercritical anti-solvent, rapid expansion of supercritical solution, etc.) to produce micro or nano sized drug particles. In this study, the solubility of sildenafil citrate (SLC) in SC-CO2 using a static method was measured and modeled for the first time. For this purpose, experiments to measure the solubility of SLC in SC-CO2 were carried out at different temperature (308 to 338 K) and pressure values (12 to 30 MPa). The solubility expressed as molar fraction and g/L of SLC in SC-CO2 was quantified in the range of 2.40 x 10(-7) to 6.48 x 10(-6) and 0.001 to 0.079 (g/L), respectively. Various models were used to correlate the measured solubility data, including the Soave Redlich Kwong (AARD = 14.33) and PC-SAFT theory (AARD =10.26) equations of state (EoS), the Modified Wilson's model (AARD=7.80), and Chrastil (AARD = 7.90), Bartle et al. (AARD = 8.75), Me &amp; PRIME;ndez-Santiago-Teja (AARD = 6.50), and Kumar-Johnston (AARD =5.30) as the density-based semiempirical models. Finally, the approximate values of total (Delta H-total), vaporization (Delta H-vap), and solvation (Delta H-sol) enthalpies were computed.</t>
  </si>
  <si>
    <t>Jouyban, Abolghasem/ABB-7335-2020; Rojas, Adrián/AAR-9441-2021; Sajadian, Seyedali/HJP-8942-2023</t>
  </si>
  <si>
    <t>sajadian, seyed ali/0000-0002-8942-0559; Rojas, Adrian/0000-0001-9253-1295</t>
  </si>
  <si>
    <t>0378-3812</t>
  </si>
  <si>
    <t>1879-0224</t>
  </si>
  <si>
    <t>10.1016/j.fluid.2022.113677</t>
  </si>
  <si>
    <t>WOS:001015691100001</t>
  </si>
  <si>
    <t>Aujogue, JB; Barge, M; Kellendonk, J; Lenz, D</t>
  </si>
  <si>
    <t>Kellendonk, J; Lenz, D; Savinien, J</t>
  </si>
  <si>
    <t>Aujogue, Jean-Baptiste; Barge, Marcy; Kellendonk, Johannes; Lenz, Daniel</t>
  </si>
  <si>
    <t>Equicontinuous Factors, Proximality and Ellis Semigroup for Delone Sets</t>
  </si>
  <si>
    <t>MATHEMATICS OF APERIODIC ORDER</t>
  </si>
  <si>
    <t>Progress in Mathematics</t>
  </si>
  <si>
    <t>We discuss the application of various concepts from the theory of topological dynamical systems to Delone sets and tilings. In particular, we consider the maximal equicontinuous factor of a Delone dynamical system, the proximality relation and the enveloping semigroup of such systems.</t>
  </si>
  <si>
    <t>0743-1643</t>
  </si>
  <si>
    <t>978-3-0348-0903-0; 978-3-0348-0902-3</t>
  </si>
  <si>
    <t>10.1007/978-3-0348-0903-0</t>
  </si>
  <si>
    <t>WOS:000383440400006</t>
  </si>
  <si>
    <t>Stepanova, M; Pinto, V; Valdivia, JA; Antonova, EE</t>
  </si>
  <si>
    <t>Stepanova, M.; Pinto, V.; Valdivia, J. A.; Antonova, E. E.</t>
  </si>
  <si>
    <t>Spatial distribution of the eddy diffusion coefficients in the plasma sheet during quiet time and substorms from THEMIS satellite data</t>
  </si>
  <si>
    <t>During the last decade, a number of studies have shown that turbulent processes in the plasma sheet are very important for the analysis of the formation of quasi-stable plasma sheet configurations. The existence of this turbulence provides a self-consistent approach to study the dynamics of the Earth's magnetosphere, including the plasma sheet stability. The turbulence can also be very important for an understanding of the location of an isolated substorm expansion phase onset. In this study the level of turbulence has been evaluated by calculating the eddy diffusion coefficients using the Time History of Events and Macroscale Interactions during Substorms satellite data. It was found that the value of the eddy diffusion coefficients may vary by at least 3 orders of magnitude, generally ranging from 10(3) to 10(6) km(2)/s, increasing with the distance from the Earth. The area of low eddy diffusion coefficients, less than 10(4) km(2)/s, is situated at distances below 12 R-E in the tail where we found the transition region between the dipole and the tail-like geomagnetic field configuration. This region is consistent with the location of isolated substorms, as indicated by the first auroral arc brightening situated at the equatorial edge of the auroral oval.</t>
  </si>
  <si>
    <t>Antonova, Elizaveta/0000-0001-6980-3993; Stepanova, Marina/0000-0002-1053-3375; Valdivia, Juan Alejandro/0000-0003-3381-9904; Pinto, Victor/0000-0003-1210-167X</t>
  </si>
  <si>
    <t>A00I24</t>
  </si>
  <si>
    <t>10.1029/2010JA015887</t>
  </si>
  <si>
    <t>WOS:000286764400002</t>
  </si>
  <si>
    <t>Shaaban, SM; Lazar, M; López, RA; Poedts, S</t>
  </si>
  <si>
    <t>Shaaban, S. M.; Lazar, M.; Lopez, R. A.; Poedts, S.</t>
  </si>
  <si>
    <t>Electromagnetic Ion-Ion Instabilities in Space Plasmas: Effects of Suprathermal Populations</t>
  </si>
  <si>
    <t>In collision-poor plasmas from space, three distinct ion-ion instabilities can be driven by the proton beams streaming along the background magnetic field: left-hand resonant, nonresonant, and right-hand resonant instabilities. These instabilities are in general investigated considering only idealized proton beams with Maxwellian velocity distributions, and ignoring the implications of suprathermal populations, usually reproduced by the Kappa power laws. Moreover, the existing theories minimize the kinetic effects of electrons, assuming them isotropic and Maxwellian distributed. In an attempt to overcome these limitations, in the present paper we present the results of an extended investigation of ion-ion instabilities, which show that their dispersion and stability properties (e.g., growth rates, wave frequencies, and the unstable wavenumbers) are highly sensitive to the influence of suprathermal populations and anisotropic electrons. These results offer valuable explanations for the origin of the enhanced low-frequency fluctuations, frequently observed in space plasmas and associated with proton beams.</t>
  </si>
  <si>
    <t>Lazar, Marian/U-7133-2019; Poedts, Stefaan/AAG-1995-2019; Shaaban, Shaaban/O-4663-2019; Lopez, Rodrigo/H-7576-2013; Lazar, Marian/C-3264-2012; Poedts, Stefaan/C-9775-2012</t>
  </si>
  <si>
    <t>Shaaban, Shaaban Mohammed/0000-0003-0465-598X; Lopez, Rodrigo/0000-0003-3223-1498; Lazar, Marian/0000-0002-8508-5466; Poedts, Stefaan/0000-0002-1743-0651</t>
  </si>
  <si>
    <t>10.3847/1538-4357/ab9ca1</t>
  </si>
  <si>
    <t>WOS:000560898100001</t>
  </si>
  <si>
    <t>Feron, S; Cordero, RR; Damiani, A; Llanillo, PJ; Jorquera, J; Sepulveda, E; Asencio, V; Laroze, D; Labbe, F; Carrasco, J; Torres, G</t>
  </si>
  <si>
    <t>Feron, S.; Cordero, R. R.; Damiani, A.; Llanillo, P. J.; Jorquera, J.; Sepulveda, E.; Asencio, V.; Laroze, D.; Labbe, F.; Carrasco, J.; Torres, G.</t>
  </si>
  <si>
    <t>Observations and Projections of Heat Waves in South America</t>
  </si>
  <si>
    <t>Although Heat Waves (HWs) are expected to increase due to global warming, they are a regional phenomenon that demands for local analyses. In this paper, we assess four HW metrics (HW duration, HW frequency, HW amplitude, and number of HWs per season) as well as the share of extremely warm days (TX95, according to the 95th percentile) in South America (SA). Our analysis included observations as well as simulations from global and regional models. In particular, Regional Climate Models (RCMs) from the Coordinated Regional Climate Downscaling Experiment (CORDEX), and Global Climate Models (GCMs) from the Coupled Model Intercomparison Project Phase 5 (CMIP5) were used to project both TX95 estimates and HW metrics according to two representative concentration pathways (RCP4.5 and RCP8.5). We found that in recent decades the share of extremely warm days has at least doubled over the period December-January-February (DJF) in northern SA; less significant increases have been observed in southern SA. We also found that by midcentury, under the RCP4.5 scenario, extremely warm DJF days (as well as the number of HWs per season) are expected to increase by 5-10 times at locations close to the Equator and in the Atacama Desert. Increases are expected to be less pronounced in southern SA. Projections under the RCP8.5 scenario are more striking, particularly in tropical areas where half or more of the days could be extremely warm by midcentury.</t>
  </si>
  <si>
    <t>Cordero, Raul/M-7979-2017; Damiani, Alessandro/X-4677-2019; Laroze, David/Z-2852-2019; Laroze, David/E-9134-2011; Llanillo, Pedro/L-5877-2015; Carrasco, Jorge/K-2949-2014</t>
  </si>
  <si>
    <t>Laroze, David/0000-0002-6487-8096; Cordero, Raul R./0000-0001-7607-7993; Damiani, Alessandro/0000-0003-3014-6193; Llanillo, Pedro/0000-0002-9308-501X; Feron, Sarah/0000-0002-0572-5639; Carrasco, Jorge/0000-0003-2154-5483</t>
  </si>
  <si>
    <t>JUN 3</t>
  </si>
  <si>
    <t>10.1038/s41598-019-44614-4</t>
  </si>
  <si>
    <t>WOS:000469912700014</t>
  </si>
  <si>
    <t>García-Hermoso, A; Ramírez-Vélez, R; Celis-Morales, CA; Olloquequi, J; Izquierdo, M</t>
  </si>
  <si>
    <t>Garcia-Hermoso, Antonio; Ramirez-Velez, Robinson; Celis-Morales, Carlos A.; Olloquequi, Jordi; Izquierdo, Mikel</t>
  </si>
  <si>
    <t>Can physical activity attenuate the negative association between sitting time and cognitive function among older adults? A mediation analysis</t>
  </si>
  <si>
    <t>The purpose of this study was to examine the combined association of sitting time and physical activity with cognitive function and to determine whether moderate-to-vigorous physical activity (MVPA) is a mediator of the association between sitting time and cognitive function in a nationally representative sample of older adults from Chile. Data from 989 older adults (&gt;= 65 years old, 61.3% female) from the 2009-2010 Chilean Health Survey were analyzed. Physical activity and sitting time were measured using the Global Physical Activity questionnaire. Cognitive function was assessed using the modified Mini-Mental State levels Examination. Physical activity levels were categorized as inactive (&lt; 600 metabolic equivalent value minutes per week) or active (&gt;= 600 metabolic equivalent value minutes per week). Sitting time was categorized as sedentary, defined as &gt;= 4 h of reported sitting time per day, or non-sedentary, defined as &lt; 4 h. We created the following groups (i) non-sedentary/active; (ii) non-sedentary/inactive; (iii) sedentary/active; and (iv) sedentary/inactive. Hayes's PROCESS macro was used for the simple mediation analysis. Compared with the reference group (individuals classified as non-sedentary/active), older adults who were classified as sedentary/active had elevated odds of cognitive impairment (OR = 1.90, [95% CI, 1.84 to 3.85]). However, the odds ratio for cognitive impairment was substantially increased in those classified as sedentary/inactive (OR = 4.85 [95% CI, 2.54 to 6.24]) compared with the reference group. MVPA was found to mediate the relationship between sitting time and cognitive function (Indirect Effect = -0.070 [95% CI, -0.012 to -0.004]). Conclusion: The present findings suggest that, whether overall physical activity is high or low, spending large amounts of time sitting is associated with elevated odds of cognitive impairment and that MVPA slightly weakens the relationship between sitting time and cognitive function.</t>
  </si>
  <si>
    <t>Olloquequi, Jordi/ITR-9680-2023; García-Hermoso, Antonio/ADU-2591-2022; Izquierdo, Mikel/A-4894-2010; Ramirez-Velez, Robinson/D-5311-2016; Garcia-Hermoso, Antonio/P-1857-2017</t>
  </si>
  <si>
    <t>Izquierdo, Mikel/0000-0002-1506-4272; Ramirez-Velez, Robinson/0000-0003-3075-6960; Garcia-Hermoso, Antonio/0000-0002-1397-7182; Olloquequi, Jordi/0000-0002-6492-2739</t>
  </si>
  <si>
    <t>10.1016/j.exger.2018.03.002</t>
  </si>
  <si>
    <t>WOS:000430469000024</t>
  </si>
  <si>
    <t>Lesne, E; Fu, Y; Oyarzun, S; Rojas-Sánchez, JC; Vaz, DC; Naganuma, H; Sicoli, G; Attané, JP; Jamet, M; Jacquet, E; George, JM; Barthélémy, A; Jaffrès, H; Fert, A; Bibes, M; Vila, L</t>
  </si>
  <si>
    <t>Lesne, E.; Fu, Yu; Oyarzun, S.; Rojas-Sanchez, J. C.; Vaz, D. C.; Naganuma, H.; Sicoli, G.; Attane, J. -P.; Jamet, M.; Jacquet, E.; George, J. -M.; Barthelemy, A.; Jaffres, H.; Fert, A.; Bibes, M.; Vila, L.</t>
  </si>
  <si>
    <t>Highly efficient and tunable spin-to-charge conversion through Rashba coupling at oxide interfaces</t>
  </si>
  <si>
    <t>The spin-orbit interaction couples the electrons' motion to their spin. As a result, a charge current running through a material with strong spin-orbit coupling generates a transverse spin current (spin Hall effect, SHE) and vice versa (inverse spin Hall effect, ISHE). The emergence of SHE and ISHE as charge-to-spin interconversion mechanisms offers a variety of novel spintronic functionalities and devices, some of which do not require any ferromagnetic material. However, the interconversion efficiency of SHE and ISHE (spin Hall angle) is a bulk property that rarely exceeds ten percent, and does not take advantage of interfacial and low-dimensional effects otherwise ubiquitous in spintronic hetero- and mesostructures. Here, we make use of an interface-driven spin-orbit coupling mechanism the Rashba effect in the oxide two-dimensional electron system (2DES) LaAlO3/SrTiO3 to achieve spin-to-charge conversion with unprecedented efficiency. Through spin pumping, we inject a spin current from a NiFe film into the oxide 2DES and detect the resulting charge current, which can be strongly modulated by a gate voltage. We discuss the amplitude of the effect and its gate dependence on the basis of the electronic structure of the 2DES and highlight the importance of a long scattering time to achieve efficient spin-to-charge interconversion.</t>
  </si>
  <si>
    <t>BARTHELEMY, Agnès/ABB-5522-2020; Sicoli, Giuseppe/Y-9727-2019; JAFFRES, Henri/KBD-2984-2024; Vaz, Diogo/AAB-4460-2020; Bibes, Manuel/AAC-5764-2019; Bibes, Manuel/C-5899-2013; Rojas-Sanchez, Juan-Carlos/N-9963-2015; Vila, Laurent/J-3467-2012; Naganuma, Hiroshi/Q-7195-2018; Oyarzun, Simon/M-1769-2014; Sicoli, Giuseppe/I-6554-2013</t>
  </si>
  <si>
    <t>Bibes, Manuel/0000-0002-6704-3422; Lesne, Edouard/0000-0002-3964-9128; Rojas-Sanchez, Juan-Carlos/0000-0001-7044-2785; Vila, Laurent/0000-0002-1171-2391; Vaz, Diogo C./0000-0001-8490-2818; Naganuma, Hiroshi/0000-0003-2966-8269; Attane, Jean-Philippe/0000-0001-6320-616X; Oyarzun, Simon/0000-0002-8764-7944; Sicoli, Giuseppe/0000-0003-4872-5660</t>
  </si>
  <si>
    <t>10.1038/NMAT4726</t>
  </si>
  <si>
    <t>WOS:000389104400013</t>
  </si>
  <si>
    <t>Páramo, P; Burbano, A; Navarro, F; Viera, E; Palacios, C; Elgier, A; De Simone, P; Licona, E; Pérez, I; Ascencio, C; Ortiz, L; Muñoz, A; Brenes, J</t>
  </si>
  <si>
    <t>Paramo, Pablo; Burbano, Andrea; Navarro, Felipe; Viera, Eduardo; Palacios, Clara; Elgier, Angel; De Simone, Paula; Licona, Ernesto; Perez, Ivett; Ascencio, Carlos; Ortiz, Leon; Munoz, Alejandra; Brenes, Jose</t>
  </si>
  <si>
    <t>Coexistence in the public spaces of Latin American cities (Convivencia en los espacios publicos de las ciudades Latinoamericanas)</t>
  </si>
  <si>
    <t>PSYECOLOGY-BILINGUAL JOURNAL OF ENVIRONMENTAL PSYCHOLOGY-REVISTA BILINGUE DE PSICOLOGIA AMBIENTAL</t>
  </si>
  <si>
    <t>This article presents the findings of a descriptive correlational study that investigates personal evaluations of behaviours that characterize coexistence in public spaces in cities in seven Latin American countries. A total of 1,337 people of different genders and age groups participated in the research, evaluating the contribution of different behaviours associated with coexistence through an ad hoc questionnaire containing 50 items. Multidimensional scaling analysis (SSA) indicates that people assess the behaviours explored based on the function they attribute to coexistence. Albeit with some variations, there are overlaps in several of the dimensions into which the items in the questionnaire were grouped, including, for most cities, safety, environmental protection, socialization and mobility. The results are discussed on the basis of cultural differences, the consequences for quality of urban life and the formulation of public policy for citizen education.</t>
  </si>
  <si>
    <t>Elgier, Angel/AAG-9494-2020</t>
  </si>
  <si>
    <t>Navarro Arboleda, Luis Felipe/0000-0002-6322-8833; Paramo, Pablo/0000-0002-4551-3040; Elgier, Angel Manuel/0000-0002-6110-5151; Munoz Tapia, Alejandra/0009-0005-3675-1601; Ascencio Garrido, Carlos/0000-0003-0564-529X</t>
  </si>
  <si>
    <t>2171-1976</t>
  </si>
  <si>
    <t>1989-9386</t>
  </si>
  <si>
    <t>10.1080/21711976.2021.1888608</t>
  </si>
  <si>
    <t>WOS:000710538400003</t>
  </si>
  <si>
    <t>Haye, MT; Cartes, G; Gutiérrez, J; Ahumada, P; Krause, B; Merialdi, M; Gonzalez, R</t>
  </si>
  <si>
    <t>Haye, Maria Teresa; Cartes, Giorgia; Gutierrez, Jorge; Ahumada, Paz; Krause, Bernardo; Merialdi, Mario; Gonzalez, Rogelio</t>
  </si>
  <si>
    <t>Maternal and perinatal outcomes in pregnant women with confirmed severe and mild COVID-19 at one large maternity hospital in Chile</t>
  </si>
  <si>
    <t>JOURNAL OF MATERNAL-FETAL &amp; NEONATAL MEDICINE</t>
  </si>
  <si>
    <t>Objective and methods We conducted a prospective observational cohort study in 458 pregnant and puerperal women, with confirmed COVID-19 at Hospital San Jose, Santiago, Chile, to determine the impact of COVID-19 on pregnancy and confirm safety and feasibility of a management protocol based on clinical presentation of the disease. Results 25.5% (117/458) of women were severe and 74.4% (341/458) mild presentation. Three percent (9/341) of mild presentations required a subsequent hospitalization. Overall, 26/458 women (5.6%) were admitted to ICU, and 13/458 (2.8%) required mechanical ventilation. One maternal death occurred at 49-days postpartum. Severe presentation, infection above 24 weeks, and comorbidities were associated with an adverse maternal outcome. Of total deliveries, 16.5% (36/217) were &lt;37 weeks. Perinatal mortality was 6/226 (2.7%), mostly due to the fetal component. Conclusions A quarter of the women had severe COVID-19 that, combined with occurrence of disease in the second half of pregnancy, resulted in substantial maternal compromise. Perinatal morbidity and mortality in women with severe disease were high and warrant consideration. Outpatient management was safe for mild cases.</t>
  </si>
  <si>
    <t>; Krause, Bernardo/F-4977-2013</t>
  </si>
  <si>
    <t>Gonzalez, Rogelio/0000-0003-3133-3927; Krause, Bernardo/0000-0002-3563-6143</t>
  </si>
  <si>
    <t>1476-7058</t>
  </si>
  <si>
    <t>1476-4954</t>
  </si>
  <si>
    <t>10.1080/14767058.2021.1902498</t>
  </si>
  <si>
    <t>WOS:000635811300001</t>
  </si>
  <si>
    <t>Navarro, F; Morales, N; Contreras-Bolton, C; Rey, C; Parada, V</t>
  </si>
  <si>
    <t>Navarro, Felipe; Morales, Nelson; Contreras-Bolton, Carlos; Rey, Carlos; Parada, Victor</t>
  </si>
  <si>
    <t>Open-Pit Pushback Optimization by a Parallel Genetic Algorithm</t>
  </si>
  <si>
    <t>MINERALS</t>
  </si>
  <si>
    <t>Determining the design of pushbacks in an open-pit mine is a key part of optimizing the economic value of the mining project and the operational feasibility of the mine. This problem requires balancing pushbacks that have good geometric properties to ensure the smooth operation of the mining equipment and so that the scheduling of extraction maximizes the economic value by providing early access to the rich parts of the deposit. However, because of the challenging nature of the problem, practical approaches for finding the best pushbacks strongly depend on the expert criteria to ensure good operational properties. This paper introduces the Advanced Geometrically Constrained Production Scheduling Problem to account for operational space constraints, modeled as truncated cones of extraction. To find the best solution for this problem, we present a parallel genetic algorithm based on a genotype-phenotype model such that the genotype symbolizes the base block of a truncated cone, and the phenotype represents the cone itself. A central computer node evaluates these solutions, collaborating with various secondary nodes that evolve a population of feasible solutions. The PGA's efficacy was validated using comprehensive test instances from established research. The PGA solution exhibited a consistent average copper grade across periods, with its incremental phases reflecting real-world mine geometry. Moreover, the benefits of the MeanShift clustering technique were evident, suggesting effective phase-based scheduling. The PGA's approach ensures optimal resource utilization and offers insights into potential avenues for further model enhancements and fine-tuning.</t>
  </si>
  <si>
    <t>Parada, Victor/M-5840-2014; Contreras-Bolton, Carlos/D-9624-2016; Navarro, Felipe/A-6870-2015</t>
  </si>
  <si>
    <t>Contreras-Bolton, Carlos/0000-0001-9549-4143; Rey, Carlos/0009-0000-0884-7423; Parada, Victor/0000-0002-8649-5694; Navarro, Felipe/0000-0002-6951-3504</t>
  </si>
  <si>
    <t>2075-163X</t>
  </si>
  <si>
    <t>10.3390/min14050438</t>
  </si>
  <si>
    <t>WOS:001231229300001</t>
  </si>
  <si>
    <t>Celedón, CMG; Verdugo, DC; Guerra, MSP; Campo, PSD; Marholz, LB; Osorio, MLC; Ortiz, CAA</t>
  </si>
  <si>
    <t>Celedon, Claudia Maria Gonzalez; Verdugo, Daniela Carrillo; Guerra, Maria Soledad Peredo; Campo, Paulina Salas del; Marholz, Lillian Bolte; Osorio, Maria Luisa Ceballos; Ortiz, Claudia Andrea Alarcon</t>
  </si>
  <si>
    <t>Arterial Hypertension in Pediatrics. Role of Ambulatory Blood Pressure Monitoring (ABPM)</t>
  </si>
  <si>
    <t>ANDES PEDIATRICA</t>
  </si>
  <si>
    <t>Hypertension is an important risk factor for cardiovascular disease. The prevalence of hypertension in children has risen in last years, secondary to the increase in overweight and obesity in pediatric population, among other factors. An adequate diagnosis and opportune treatment can prevent the development of organ damage. The American Academy of Pediatrics recommends the performance of Ambulatory Blood Pressure Monitorization in children with risk factors or suspected hypertension, in order to confirm the diagnosis and guide treatment. New recommendations recently published simplifies the interpretation; blood pressure load is no longer included in the diagnosis, so only 4 categories remain: Normotension, White Coat Hypertension, Masked Hypertension and Ambulatory Hypertension. They also propose single cut-off values for patients &gt;= 13 years, similar to those recommended for adults in 2017 American Heart Association guidelines. Both changes increase sensibility in organ damage diagnosis. This article presents an actualization in pediatric Chilean Ambulatory Blood Pressure Monitorization guidelines in order to unify criteria and attain nationwide broadcast. It also reviews the ambulatory categories of blood pressure and describes target organ damage in children, including recommendations for the correct use of the exam and proposes a report form.</t>
  </si>
  <si>
    <t>Bruhn, Alejandro/AAH-2684-2019; Osorio, Maria Lucila/HNI-4558-2023</t>
  </si>
  <si>
    <t>****_****</t>
  </si>
  <si>
    <t>2452-6053</t>
  </si>
  <si>
    <t>10.32641/andespediatr.v94i5.4886</t>
  </si>
  <si>
    <t>WOS:001098982800002</t>
  </si>
  <si>
    <t>Svalina, MN; Rio, CACD; Kushner, JK; Levy, A; Baca, SM; Guthman, EM; Opendak, M; Sullivan, RM; Restrepo, D; Huntsman, MM</t>
  </si>
  <si>
    <t>Svalina, Matthew N.; Cea-Del Rio, Christian A.; Kushner, J. Keenan; Levy, Abigail; Baca, Serapio M.; Guthman, E. Mae; Opendak, Maya; Sullivan, Regina M.; Restrepo, Diego; Huntsman, Molly M.</t>
  </si>
  <si>
    <t>Basolateral Amygdala Hyperexcitability Is Associated with Precocious Developmental Emergence of Fear-Learning in Fragile X Syndrome</t>
  </si>
  <si>
    <t>Fragile X Syndrome is a neurodevelopmental disorder and the most common monogenic cause of intellectual disability, au-tism spectrum disorders, and anxiety disorders. Loss of fragile x mental retardation protein results in disruptions of synaptic development during a critical period of circuit formation in the BLA. However, it is unknown how these alterations impact microcircuit development and function. Using a combination of electrophysiologic and behavioral approaches in both male (Fmr1-/y) and female (Fmr1-/-) mice, we demonstrate that principal neurons in the Fmr1KO BLA exhibit hyperexcitability during a sensitive period in amygdala development. This hyperexcitability contributes to increased excitatory gain in fear -learning circuits. Further, synaptic plasticity is enhanced in the BLA of Fmr1KO mice. Behavioral correlation demonstrates that fear-learning emerges precociously in the Fmr1KO mouse. Early life 4,5,6,7-tetrahydroisoxazolo [5,4-c]pyridin-3ol inter-vention ameliorates fear-learning in Fmr1KO mice. These results suggest that critical period plasticity in the amygdala of the Fmr1KO mouse may be shifted to earlier developmental time points.</t>
  </si>
  <si>
    <t>Rio, Christian/T-1356-2019</t>
  </si>
  <si>
    <t>Sullivan, Regina Marie/0000-0002-2406-8857; Kushner, John Keenan/0000-0001-8450-4094; Baca, Serapio/0000-0002-2642-6339; Cea-Del Rio, Christian/0000-0002-4658-2427</t>
  </si>
  <si>
    <t>10.1523/JNEUROSCI.1776-21.2022</t>
  </si>
  <si>
    <t>WOS:000864792800011</t>
  </si>
  <si>
    <t>Guzman, L; Parra-Cid, C; Guerrero-Munoz, E; Pena-Varas, C; Polo-Cuadrado, E; Duarte, Y; Castro, RI; Nerio, LS; Araya-Maturana, R; Asefa, T; Echeverría, J; Ramírez, D; Forero-Doria, O</t>
  </si>
  <si>
    <t>Guzman, Luis; Parra-Cid, Cristobal; Guerrero-Munoz, Etiennette; Pena-Varas, Carlos; Polo-Cuadrado, Efrain; Duarte, Yorley; Castro, Ricardo I.; Nerio, Luz Stella; Araya-Maturana, Ramiro; Asefa, Tewodros; Echeverria, Javier; Ramirez, David; Forero-Doria, Oscar</t>
  </si>
  <si>
    <t>Antimicrobial properties of novel ionic liquids derived from imidazolium cation with phenolic functional groups</t>
  </si>
  <si>
    <t>BIOORGANIC CHEMISTRY</t>
  </si>
  <si>
    <t>Bacterial infections are nowadays among the major threats to public health worldwide. Thus, there is an urgent and increased need for new antimicrobial agents. As a result, the exploration of the antimicrobial properties of different substances including ionic liquids (ILs) has recently attracted great attention. The present work is aimed at evaluating how the addition of halogens and hydrophobic substituents on alkylimidazolium units of ILs as well as the increase in their chain lengths affects the antimicrobial properties of such ILs. After their synthesis, the antibacterial activities of these compounds against Pseudomona aeruginosa, Escherichia coli, and Staphylococcus aureus are determined by measuring their minimal inhibitory concentrations (MICs). Key features in ILsmembrane interactions are also studied using long-term all-atom molecular dynamics simulations (MDs). The results show that these ILs have good antibacterial activity against S. aureus, E. coli, and P. aeruginosa, with MIC values range from &lt;7.81 to 62.50 mu M. The antimicrobial property of tert-butyl N-methylphenolimidazolium salts (denoted as 8b and 8c) is particularly better with MIC values of &lt; 7.81 mu M. The antibacterial efficacy is also found to depend on the alkyl chain length and substituents on the phenolic ring. Finally, MDs done for ILs in a phosphatidylcholine (POPC) bilayer show key features in the mechanism of IL-induced membrane disruption, where the ILs are inserted as clusters into one side of the bilayer until saturation is reached. This insertion increases leaflet strain up to critical threshold, likely triggering the morphological disruption of the membranes in the microbes.</t>
  </si>
  <si>
    <t>Echeverría, Javier/AAK-3323-2020; Castro, Ricardo/HPD-5729-2023; Nerio, Luz/AAV-6184-2020; forero doria, oscar/ABF-8164-2020; Polo, Efrain/ABG-6631-2020; Parra-Cid, Cristóbal/IAO-2484-2023; Ramirez, David/HRE-0888-2023; Guzmán, Luis/HLH-3515-2023; Araya-Maturana, Ramiro/N-8747-2015; Asefa, Tewodros/Q-2957-2018; Ramirez, David/Q-9537-2018</t>
  </si>
  <si>
    <t>DUARTE, YORLEY/0000-0002-8127-7540; Araya-Maturana, Ramiro/0000-0002-5082-9146; Parra-Cid, Cristobal/0000-0001-9688-3968; Echeverria, Javier/0000-0002-1688-968X; Ramirez, David/0000-0003-0002-1189; Polo, Efrain/0000-0003-2280-9321</t>
  </si>
  <si>
    <t>0045-2068</t>
  </si>
  <si>
    <t>1090-2120</t>
  </si>
  <si>
    <t>10.1016/j.bioorg.2021.105289</t>
  </si>
  <si>
    <t>WOS:000705815800003</t>
  </si>
  <si>
    <t>Peterson, MD; Casten, K; Collins, S; Hassan, H; García-Hermoso, A; Faul, J</t>
  </si>
  <si>
    <t>Peterson, Mark D.; Casten, Kimberly; Collins, Stacey; Hassan, Halimah; Garcia-Hermoso, Antonio; Faul, Jessica</t>
  </si>
  <si>
    <t>Muscle weakness is a prognostic indicator of disability and chronic disease multimorbidity</t>
  </si>
  <si>
    <t>Background: The objective of this study was to use nationally-representative data on Americans greater than 50 years of age to determine the association between grip strength and inflammation as independent predictors of incident disability, chronic multimorbidity and dementia. Methods: Middle age and older adults (n = 12,618) from the 2006-2008 waves of the Health and Retirement Study with 8-years of follow-up were included. Longitudinal modeling was performed to examine the association between baseline grip strength (normalized to body mass: NGS) and high sensitivity C-reactive protein (hs-CRP) (&gt;3.0 mg/L) with incident physical disabilities (i.e., &gt;2 limitations to activities of daily living), chronic multimorbidity (&gt;2 of chronic conditions), and dementia. Results: The odds of incident disability were 1.25 (95% CI: 1.20-1.30) and 1.31 (95% CI: 1.26-1.36) for men and women respectively, for each 0.05-unit lower NGS. The odds of incident chronic multimorbidity were 1.14 (95% CI: 1.08-1.20) and 1.14 (95% CI: 1.07-1.21) for men and women respectively for each 0.05-unit lower NGS. The odds of incident dementia were 1.10 for men (95% CI: 1.02-1.20) for each 0.05-unit lower NGS, but there was no significant association for women. Elevated hs-CRP was only associated with chronic multimorbidity among men (OR = 1.29; 95% CI: 1.00-1.73) and women (OR = 1.60; 95% CI: 1.26-2.02). Conclusions: Our findings indicate a robust inverse association between NGS and disability and chronic, multimorbidity in older men and women, and dementia in men. Elevated hs-CRP was only associated with chronic multimorbidity in men and women. Healthcare providers should implement measures of grip strength in routine health assessments and discuss the potential dangers of weakness as well as interventions to improve strength with their patients.</t>
  </si>
  <si>
    <t>Peterson, Mark/ABD-3853-2020; García-Hermoso, Antonio/ADU-2591-2022; Garcia-Hermoso, Antonio/P-1857-2017</t>
  </si>
  <si>
    <t>Peterson, Mark/0000-0002-9861-4275; Collins, Stacey/0000-0001-7985-1067; Garcia-Hermoso, Antonio/0000-0002-1397-7182</t>
  </si>
  <si>
    <t>10.1016/j.exger.2021.111462</t>
  </si>
  <si>
    <t>WOS:000681133200030</t>
  </si>
  <si>
    <t>Alfonso-Rosa, RM; García-Hermoso, A; Sanders, T; Parker, P; Oriol-Granado, X; Arnott, H; Cruz, BD</t>
  </si>
  <si>
    <t>Alfonso-Rosa, Rosa M.; Garcia-Hermoso, Antonio; Sanders, Taren; Parker, Phil; Oriol-Granado, Xavier; Arnott, Hugh; del Pozo Cruz, Borja</t>
  </si>
  <si>
    <t>Lifestyle behaviors predict adolescents bullying victimization in low and middle -income countries</t>
  </si>
  <si>
    <t>JOURNAL OF AFFECTIVE DISORDERS</t>
  </si>
  <si>
    <t>Rosa, Rosa/AAG-8502-2019; García-Hermoso, Antonio/ADU-2591-2022; Sanders, Taren/N-9511-2018; del Pozo Cruz, Borja/IAM-4325-2023; Oriol, Xavier/AAO-3112-2021; Parker, Philip/K-2896-2018; Garcia-Hermoso, Antonio/P-1857-2017</t>
  </si>
  <si>
    <t>Sanders, Taren/0000-0002-4504-6008; del Pozo Cruz, Borja/0000-0003-3944-2212; Oriol, Xavier/0000-0001-7130-7729; Parker, Philip/0000-0002-4604-8566; Garcia-Hermoso, Antonio/0000-0002-1397-7182; Arnott, Hugh/0000-0002-9582-5122</t>
  </si>
  <si>
    <t>0165-0327</t>
  </si>
  <si>
    <t>1573-2517</t>
  </si>
  <si>
    <t>10.1016/j.jad.2020.04.065</t>
  </si>
  <si>
    <t>WOS:000541424200005</t>
  </si>
  <si>
    <t>Caamaño, E; Loperena, L; Hinzpeter, I; Pradel, P; Gordillo, F; Corsini, G; Tello, M; Lavín, P; González, AR</t>
  </si>
  <si>
    <t>Caamano, Esteban; Loperena, Lyliam; Hinzpeter, Ivonne; Pradel, Paulina; Gordillo, Felipe; Corsini, Gino; Tello, Mario; Lavin, Paris; Gonzalez, Alex R.</t>
  </si>
  <si>
    <t>Isolation and molecular characterization of Thraustochytrium strain isolated from Antarctic Peninsula and its biotechnological potential in the production of fatty acids</t>
  </si>
  <si>
    <t>BRAZILIAN JOURNAL OF MICROBIOLOGY</t>
  </si>
  <si>
    <t>Thraustochytrids are unicellular protists belonging to the Labyrinthulomycetes class, which are characterized by the presence of a high lipid content that could replace conventional fatty acids. They show a wide geographic distribution, however their diversity in the Antarctic Region is rather scarce. The analysis based on the complete sequence of 18S rRNA gene showed that strain 34-2 belongs to the species Thraustochytrium kinnei, with 99% identity. The total lipid profile shows a wide range of saturated fatty acids with abundance of palmitic acid (16:0), showing a range of 16.1-19.7%. On the other hand, long-chain polyunsaturated fatty acids, mainly docosahexaenoic acid and eicosapentaenoic acid are present in a range of 24-48% and 6.1-9.3%, respectively. All factors analyzed in cells (biomass, carbon consumption and lipid content) changed with variations of culture temperature (10 degrees C and 25 degrees C). The growth in glucose at a temperature of 10 degrees C presented the most favorable conditions to produce omega-3fatty acid. This research provides the identification and characterization of a Thraustochytrids strain, with a total lipid content that presents potential applications in the production of nutritional supplements and as well biofuels. (C) 2017 Sociedade Brasileira de Microbiologia. Published by Elsevier Editora Ltda.</t>
  </si>
  <si>
    <t>Tello, Mario/N-4198-2019; Lavin, Paris/AAI-9053-2020; González, Alex/GYU-3220-2022</t>
  </si>
  <si>
    <t>Lavin, Paris/0000-0002-8893-526X; Tello, Mario/0000-0003-4573-6460; Corsini, Gino/0000-0002-0418-8616; Gonzalez, Alex/0000-0001-9968-8623</t>
  </si>
  <si>
    <t>1517-8382</t>
  </si>
  <si>
    <t>1678-4405</t>
  </si>
  <si>
    <t>OCT-DEC</t>
  </si>
  <si>
    <t>10.1016/j.bjm.2017.01.011</t>
  </si>
  <si>
    <t>WOS:000414697800010</t>
  </si>
  <si>
    <t>Rubio-Sepúlveda, F; Manjón-Sanz, A; Cañadillas-Delgado, L; Rodríguez-Velamázán, JA; Keller, L; Sheptyakov, D; Venegas-Yazigi, D; Paredes-García, V; Campo, J</t>
  </si>
  <si>
    <t>Rubio-Sepulveda, Francisco; Manjon-Sanz, Alicia; Canadillas-Delgado, Laura; Rodriguez-Velamazan, Jose Alberto; Keller, Lukas; Sheptyakov, Denis; Venegas-Yazigi, Diego; Paredes-Garcia, Veronica; Campo, Javier</t>
  </si>
  <si>
    <t>Magneto-Structural Correlations in Coordination Polymers Based on Formate Ligand and Transition Metal Cations</t>
  </si>
  <si>
    <t>We present five three-dimensional (3D) coordination polymers (CPs) based on the formate ligand, [NaM(HCOO)3(H2O)] n with M = Co2+ and Ni2+ and [KM(HCOO)3] n with M = Mn2+, Co2+, and Ni2+, introducing three new nuclear structures with the P21 space group for [NaCo(HCOO)3(H2O)] n and [NaNi(HCOO)3(H2O)] n , and P6322 Sohncke SG with chiral nuclear structure for [KNi(HCOO)3] n , along two centric C2/c isomorphs [KMn(HCOO)3] n and [KCo(HCOO)3] n . Magnetic measurements indicate that antiferromagnetic interactions predominate in the five CPs, with averaged antiferromagnetic zJ/k B mean values from -1.18 to -94.9 K. Moreover, magnetic long-range order (LRO) at low temperatures is evidenced by the magnetic susceptibility and heat capacity measurements. Furthermore, single-crystal and powder neutron diffraction experiments were performed to elucidate the magnetic structure, confirming the antiferromagnetic ordering with possible spin canting, thus understanding these systems' magnetic exchange pathway topology.</t>
  </si>
  <si>
    <t>RODRIGUEZ-VELAMAZAN, José/E-7679-2012; Venegas-Yazigi, Diego/C-5022-2009; Cañadillas-Delgado, Laura/M-7838-2016; Sanz, Alicia/AAR-3138-2020; Paredes-Garcia, Veronica/C-4415-2011</t>
  </si>
  <si>
    <t>2025 APR 10</t>
  </si>
  <si>
    <t>10.1021/acs.inorgchem.4c04737</t>
  </si>
  <si>
    <t>WOS:001466683200001</t>
  </si>
  <si>
    <t>Valdés-Badilla, P; Ramirez-Campillo, R; Herrera-Valenzuela, T; Branco, BHM; Guzman-Muñoz, E; Mendez-Rebolledo, G; Concha-Cisternas, Y; Hernandez-Martínez, J</t>
  </si>
  <si>
    <t>Valdes-Badilla, Pablo; Ramirez-Campillo, Rodrigo; Herrera-Valenzuela, Tomas; Branco, Braulio Henrique Magnani; Guzman-Munoz, Eduardo; Mendez-Rebolledo, Guillermo; Concha-Cisternas, Yeny; Hernandez-Martinez, Jordan</t>
  </si>
  <si>
    <t>Effectiveness of Olympic Combat Sports on Balance, Fall Risk or Falls in Older Adults: A Systematic Review</t>
  </si>
  <si>
    <t>Simple Summary The regular practice of physical activity has achieved greater diffusion in recent years as a strategy for fall prevention and improving or maintaining the general health status of older adults, which contributes to an active and healthy lifestyle. The strategies to promote active and healthy aging need to be reassessed due to the COVID-19 pandemic to promote the safe practice of physical activity among older adults, considering, among other measures, practicing social distancing or training at home. Such a scenario could provide the opportunity to promote physical activity that requires a limited number of participants in reduced spaces for its practice, such as Olympic combat sports. In this review, an overview of the effects of Olympic combat sports on balance, fall risk, or falls in older adults is presented. From 1496 records, eight studies were included, involving 322 older adults (64% female; mean age = 71.1 years). The available evidence does not allow a definitive recommendation for or against Olympic combat sports interventions as an effective strategy to improve balance and reduce the fall risk or falls in older adults. Therefore, more high-quality studies are required to draw definitive conclusions. This systematic review and meta-analysis aimed to assess the available body of published peer-reviewed articles related to the effects of Olympic combat sports (OCS), compared with active/passive controls, on balance, fall risk, or falls in older adults. The TESTEX and GRADE scales assessed the methodological quality and certainty of the evidence. The protocol was registered in PROSPERO (code: CRD42020204034). From 1496 records, eight studies were included, involving 322 older adults (64% female; mean age = 71.1 years). The TESTEX scale revealed all studies with a score &gt;= 60% (moderate-high quality). The GRADE scale indicated all studies with at least some concerns, up to a high risk of bias (i.e., was rated very low). Meta-analyses were planned, although the reduced number of studies precluded its incorporation in the final manuscript. Only two from six studies that assessed balance found improvements after OCS compared to controls. No differences were found between OCS vs. control groups for fall risk or falls. The available evidence does not allow a definitive recommendation for or against OCS interventions as an effective strategy to improve balance and reduce the fall risk or falls in older adults. Therefore, more high-quality studies are required to draw definitive conclusions.</t>
  </si>
  <si>
    <t>Branco, Braulio/AAA-1747-2019; Ramirez-Campillo, Rodrigo/M-1258-2016; Hernandez-Martinez, Jordan/AAK-5115-2020; Herrera-Valenzuela, Tomas/L-1819-2019; Magnani Branco, Braulio Henrique/B-8178-2017</t>
  </si>
  <si>
    <t>Mendez-Rebolledo, Guillermo/0000-0001-7948-3807; Valdes-Badilla, Pablo/0000-0002-3948-8280; Guzman-Munoz, Eduardo/0000-0001-7001-9004; Herrera-Valenzuela, Tomas/0000-0002-5219-5896; Ramirez-Campillo, Rodrigo/0000-0003-2035-3279; Magnani Branco, Braulio Henrique/0000-0002-4625-9128</t>
  </si>
  <si>
    <t>10.3390/biology11010074</t>
  </si>
  <si>
    <t>WOS:000747129600001</t>
  </si>
  <si>
    <t>Juri, C; Kramer, V; Riss, PJ; Soza-Ried, C; Haeger, A; Pruzzo, R; Rösch, F; Amaral, H; Chana-Cuevas, P</t>
  </si>
  <si>
    <t>Juri, Carlos; Kramer, Vasko; Riss, Patrick J.; Soza-Ried, Cristian; Haeger, Arlette; Pruzzo, Rossana; Rosch, Frank; Amaral, Horacio; Chana-Cuevas, Pedro</t>
  </si>
  <si>
    <t>[18F]PR04.MZ PET/CT Imaging for Evaluation of Nigrostriatal Neuron Integrity in Patients With Parkinson Disease</t>
  </si>
  <si>
    <t>Introduction Degeneration of dopaminergic, nigrostriatal neurons is the hallmark of Parkinson disease (PD), and PET quantification of dopamine transporters is a widely accepted method for differential diagnosis between idiopathic PD and essential tremor. [F-18]PR04.MZ is a new PET tracer with excellent imaging properties allowing for precise quantification of striatal and extrastriatal dopamine transporter. Here we describe our initial experience with [F-18]PR04.MZ PET/CT in a larger cohort of healthy controls and PD patients as a proof-of-concept study for this tracer. Methods Eighteen healthy subjects, 19 early PD patients (Hoehn-Yahr I-II), and 13 moderate-advanced PD patients (Hoehn-Yahr III-IV) underwent static PET/CT scans 60 to 90 minutes after injection of 5.16 +/- 1.03 mCi (191 +/- 38 MBq) [F-18]PR04.MZ. Specific binding ratios (SBRs) were calculated for caudate nucleus, anterior putamen, posterior putamen, substantia nigra (SNpc), compared between different groups and correlated with clinical ratings. Results [F-18]PR04.MZ showed very high and specific uptake in the putamen, caudate, and substantia nigra pars compacta and very low nonspecific binding in other brain regions, and SBR values for the control group were 22.3 +/- 4.1, 19.1 +/- 3.5, and 5.4 +/- 1.2, respectively. A reduction of SBR values was observed in all regions and in both initial and moderate PD, ranging from 35% to 89% (P &lt; 0.001). The observed pattern of reduction was posterior putamen &gt; anterior putamen &gt; substantia nigra pars compacta &gt; caudate, with contralateral posterior putamen being the most affected region. Rostrocaudal depletion gradient was evident in all PD patients and progression correlated with motor manifestations. Conclusions [F-18]PR04.MZ PET/CT is a highly sensitive imaging modality for the detection of dopaminergic deficit in nigrostriatal pathways in PD.</t>
  </si>
  <si>
    <t>Chana-Cuevas, Pedro/AAM-8215-2020; Juri, Carlos/B-6213-2008</t>
  </si>
  <si>
    <t>Juri, Carlos/0000-0002-1939-5976; Soza-Ried, Cristian/0000-0001-9490-4083</t>
  </si>
  <si>
    <t>10.1097/RLU.0000000000003430</t>
  </si>
  <si>
    <t>WOS:000616255100022</t>
  </si>
  <si>
    <t>Jiang, LZ; Hu, SM; Näswall, K; Bohle, SL; Wang, HJ</t>
  </si>
  <si>
    <t>Jiang, Lixin; Hu, Sanman; Naswall, Katharina; Lopez Bohle, Sergio; Wang, Hai-Jiang</t>
  </si>
  <si>
    <t>Why and when cognitive job insecurity relates to affective job insecurity? A three-study exploration of negative rumination and the tendency to negative gossip</t>
  </si>
  <si>
    <t>EUROPEAN JOURNAL OF WORK AND ORGANIZATIONAL PSYCHOLOGY</t>
  </si>
  <si>
    <t>The job insecurity literature distinguishes between cognitive job insecurity and affective job insecurity where cognitive job insecurity reflects perceptions regarding the likelihood of total job loss or job features loss and affective job insecurity refers to emotional reactions to that potential loss. Indeed, affective job insecurity is demonstrated to be an affective reaction to cognitive job insecurity. However, the relationship between cognitive job insecurity and affective job insecurity may be neither direct nor unconditional. Drawing from cognitive appraisal theory, this research takes a nuanced approach to exploring the mediating role of negative work rumination and the moderating role of the tendency to negative gossip in the relationship between cognitive job insecurity and affective job insecurity. We examined our hypotheses using three time-lagged survey studies with employees recruited from the U.S. and China. These studies found that negative work rumination mediated the relation between cognitive job insecurity and affective job insecurity (Studies 1-3) and the tendency to negative gossip attenuated the positive relation between cognitive job insecurity and affective job insecurity (Studies 1 and 2). Thus, this research advances the job insecurity literature by identifying a mediator and a moderator in the process of how employees may experience job insecurity.</t>
  </si>
  <si>
    <t>Bohle, Sergio/P-7698-2014; Näswall, Katharina/M-7137-2015</t>
  </si>
  <si>
    <t>Lopez Bohle, Sergio/0000-0002-6202-4089; Jiang, Lixin/0000-0003-0853-9329</t>
  </si>
  <si>
    <t>1359-432X</t>
  </si>
  <si>
    <t>1464-0643</t>
  </si>
  <si>
    <t>10.1080/1359432X.2020.1758669</t>
  </si>
  <si>
    <t>MAY 2020</t>
  </si>
  <si>
    <t>WOS:000533771100001</t>
  </si>
  <si>
    <t>Sanahuja, I; Fernandez-Alacid, L; Torrecillas, S; Ruiz, A; Vallejos-Vidal, E; Firmino, JP; Reyes-Lopez, FE; Tort, L; Tovar-Ramirez, D; Ibarz, A; Gisbert, E</t>
  </si>
  <si>
    <t>Sanahuja, Ignasi; Fernandez-Alacid, Laura; Torrecillas, Silvia; Ruiz, Alberto; Vallejos-Vidal, Eva; Firmino, Joana P.; Reyes-Lopez, Felipe E.; Tort, Lluis; Tovar-Ramirez, Dariel; Ibarz, Antoni; Gisbert, Enric</t>
  </si>
  <si>
    <t>Dietary Debaryomyces hansenii promotes skin and skin mucus defensive capacities in a marine fish model</t>
  </si>
  <si>
    <t>The present study explores the effects of two supplementation levels of Debaryomyces hansenii (1.1% and 2.2%) as a probiotic in a reference low fish meal-based diet on the skin mucosal tissue in Sparus aurata. This study includes the evaluation of fish performance coupled with a holistic study of the skin mucosa: i) a transcriptomic study of the skin tissue, and ii) the evaluation of its secreted mucus both in terms of skin mucosal-associated biomarkers and its defensive capacity by means of co-culture analysis with two pathogenic bacteria. Results showed that after 70 days of diet administration, fish fed the diet supplemented with D. hansenii at 1.1% presented increased somatic growth and a better feed conversion ratio, compared to fish fed the control diet. In contrast, fish fed the diet including 2.2% of the probiotic presented intermediate values. Regarding gene regulation, the probiotic administration at 1.1% resulted in 712 differentially expressed genes (DEGs), among which 53.4% and 46.6% were up- and down-regulated, respectively. In particular, D. hansenii modulated some skin biological processes related to immunity and metabolism. Specifically, D. hansenii administration induced a strong modulation of some immune biological-related processes (61 DEGs), mainly involved in B- and T-cell regulatory pathways. Furthermore, dietary D. hansenii promoted the skin barrier function by the upregulation of anchoring junction genes (23 DEGs), which reinforces the physical defense against potential skin damage. In contrast, the skin showed modulated genes related to extracellular exosome and membrane organization (50 DEGs). This modulated functioning is of great interest, particularly in relation to the increased skin mucus defensive capacity observed in the bacterial co-culture in vitro trials, which could be related to the increased modulation and exudation of the innate immune components from the skin cells into the mucus. In summary, the modulation of innate immune parameters coupled with increased skin barrier function and cell trafficking potentiates the skin's physical barrier and mucus defensive capacity, while maintaining the skin mucosa's homeostatic immune and metabolic status. These findings confirmed the advantages of D. hansenii supplementation in low fish meal-based diets, demonstrating the probiotic benefits on cultured marine species.</t>
  </si>
  <si>
    <t>Firmino, Joana/AAX-1575-2021; Ibarz, Antoni/D-9611-2014; Reyes-López, Felipe/S-1760-2018; Torrecillas, Silvia/HKN-6891-2023; Tort, Lluis/H-5650-2011; Tovar-Ramírez, Dariel/AAO-2184-2020; Sanahuja, Ignasi/J-5673-2017; Fernandez-Alacid, Laura/R-4365-2016; Gisbert, Enric/I-7224-2019; Vallejos-Vidal, Eva/R-9606-2019</t>
  </si>
  <si>
    <t>Vallejos-Vidal, Eva/0000-0002-3091-2700; Fernandez-Alacid, Laura/0000-0001-7867-0985; Reyes-Lopez, Felipe E./0000-0002-5001-457X; Tort, Lluis/0000-0002-3907-722X; Tovar Ramirez, Dariel/0000-0003-1204-9576; Firmino, Joana/0000-0002-7694-0416</t>
  </si>
  <si>
    <t>10.3389/fimmu.2023.1247199</t>
  </si>
  <si>
    <t>WOS:001067166500001</t>
  </si>
  <si>
    <t>Coughlan, M; Keesee, A; Pinto, V; Mukundan, R; Marchezi, JP; Johnson, J; Connor, H; Hampton, D</t>
  </si>
  <si>
    <t>Coughlan, Michael; Keesee, Amy; Pinto, Victor; Mukundan, Raman; Marchezi, Jose Paulo; Johnson, Jeremiah; Connor, Hyunju; Hampton, Don</t>
  </si>
  <si>
    <t>Probabilistic Forecasting of Ground Magnetic Perturbation Spikes at Mid-Latitude Stations</t>
  </si>
  <si>
    <t>SPACE WEATHER-THE INTERNATIONAL JOURNAL OF RESEARCH AND APPLICATIONS</t>
  </si>
  <si>
    <t>The prediction of large fluctuations in the ground magnetic field (dB/dt) is essential for preventing damage from Geomagnetically Induced Currents. Directly forecasting these fluctuations has proven difficult, but accurately determining the risk of extreme events can allow for the worst of the damage to be prevented. Here we trained Convolutional Neural Network models for eight mid-latitude magnetometers to predict the probability that dB/dt will exceed the 99th percentile threshold 30-60 min in the future. Two model frameworks were compared, a model trained using solar wind data from the Advanced Composition Explorer (ACE) satellite, and another model trained on both ACE and SuperMAG ground magnetometer data. The models were compared to examine if the addition of current ground magnetometer data significantly improved the forecasts of dB/dt in the future prediction window. A bootstrapping method was employed using a random split of the training and validation data to provide a measure of uncertainty in model predictions. The models were evaluated on the ground truth data during eight geomagnetic storms and a suite of evaluation metrics are presented. The models were also compared to a persistence model to ensure that the model using both datasets did not over-rely on dB/dt values in making its predictions. Overall, we find that the models using both the solar wind and ground magnetometer data had better metric scores than the solar wind only and persistence models, and was able to capture more spatially localized variations in the dB/dt threshold crossings.</t>
  </si>
  <si>
    <t>Connor, Hyunju/HLW-7516-2023; Marchezi, José/AAT-1402-2021; Keesee, Amy/J-8194-2014; Marchezi, Jose Paulo/I-4265-2017; Pinto, Victor/C-9585-2011</t>
  </si>
  <si>
    <t>Mukundan, Raman/0000-0003-3266-9377; Coughlan, Mike/0000-0003-2620-1954; Keesee, Amy/0000-0002-9719-3229; Marchezi, Jose Paulo/0000-0002-2904-6411; Pinto, Victor/0000-0003-1210-167X; Hampton, Donald/0000-0002-4893-5791</t>
  </si>
  <si>
    <t>1542-7390</t>
  </si>
  <si>
    <t>e2023SW003446</t>
  </si>
  <si>
    <t>10.1029/2023SW003446</t>
  </si>
  <si>
    <t>WOS:000999274200001</t>
  </si>
  <si>
    <t>Memon, KR; Zada, M; Ghani, B; Ullah, R; Azim, MT; Mubarik, MS; Vega-Muñoz, A; Castillo, D</t>
  </si>
  <si>
    <t>Memon, Khalid Rasheed; Zada, Muhammad; Ghani, Bilqees; Ullah, Rezwan; Azim, Mohammad Tahlil; Mubarik, Muhammad Shujaat; Vega-Munoz, Alejandro; Castillo, Dante</t>
  </si>
  <si>
    <t>Linking Corporate Social Responsibility to Workplace Deviant Behaviors: Mediating Role of Job Satisfaction</t>
  </si>
  <si>
    <t>FRONTIERS IN PSYCHOLOGY</t>
  </si>
  <si>
    <t>The purpose of this article is to present a mechanism through which the deviant work behaviors of employees can be dealt-with positively through corporate good deeds in the form of fulfilling social responsibilities. Based on the spirit of social identity theory and social exchange theory, the study explores the relationships of various deviant behaviors with corporate social responsibility (CSR) through the mediation mechanism of job satisfaction. Data were collected from 385 employees of 40 large manufacturing organizations involved in CSR activities operating in Pakistan. A self-report survey was conducted using a close-ended questionnaire. Data analysis was performed using SEM through Mplus 7. The results reveal that both internal and external CSR contribute to the reduced level of turnover intention, counterproductive work behaviors, and prohibitive voice behaviors. Job satisfaction fully mediates the relationship for internal CSR while partially mediates for external CSR. The study encourages the practitioners to avail approaches that convey the feelings of care, concern, and safety, representing internal CSR practices through diverse HR interventions, organizational support, and justice. They should also keep up the socially responsible behaviors aiming toward the larger community.</t>
  </si>
  <si>
    <t>Memon, Khalid/W-6622-2019; Ghani, Bilqees/AFC-2310-2022; Vega-Muñoz, Alejandro/AAX-7468-2021; Ullah, Rezwan/GLT-3586-2022; Zada, Muhammad/AEI-6298-2022; Azim, Mohammad/E-7205-2012; Mubarik, Muhammad Shujaat/AAF-5693-2019</t>
  </si>
  <si>
    <t>Ghani, Bilqees/0000-0003-4089-761X; Vega, Alejandro/0000-0002-9427-2044; Memon, Khalid Rasheed/0000-0002-0625-8075; zada, Muhammad/0000-0003-0466-4229; Mubarik, Muhammad Shujaat/0000-0003-1207-6427</t>
  </si>
  <si>
    <t>1664-1078</t>
  </si>
  <si>
    <t>DEC 30</t>
  </si>
  <si>
    <t>10.3389/fpsyg.2021.803481</t>
  </si>
  <si>
    <t>WOS:000745702600001</t>
  </si>
  <si>
    <t>Lopez-Gil, JF; Garcia-Hermoso, A; Tarraga-Lopez, PJ; Brazo-Sayavera, J</t>
  </si>
  <si>
    <t>Lopez-Gil, Jose Francisco; Garcia-Hermoso, Antonio; Tarraga-Lopez, Pedro Juan; Brazo-Sayavera, Javier</t>
  </si>
  <si>
    <t>Dietary Patterns, Adherence to the Food-Based Dietary Guidelines, and Ultra-Processed Consumption During the COVID-19 Lockdown in a Sample of Spanish Young Population</t>
  </si>
  <si>
    <t>Purpose: The aim of this study was to explore the dietary patterns, adherence to Food-Based Dietary Guidelines, and the ultra-processed consumption during the COVID-19 lockdown among a Spanish young population aged 3-17 years. Methods: Parents/legal guardians of preschoolers, children, and adolescents aged 3-17 years were enrolled through social networks. The eating habits were assessed by a Food Propensity Questionnaire applied in the ENALIA (Encuesta Nacional de Alimentacion en la poblacion Infantil y Adolescente) Spanish survey, which aims to collect food intake information and other data about eating habits on children and adolescents (0-18 years old). Participants were dichotomized following the Food-Based Dietary Guidelines for the Spanish young population offered by the Spanish Society of Community Nutrition. The ultra-processed food score was determined following the principles established in the NOVA classification. Results: Data from 604 children and adolescents were included. An association between age group and the recommendations of snacks (p = 0.002), fruits (p = 0.010), and diaries (p &lt; 0.001) was found. Adolescents showed a lower mean compliance with these guidelines than children (p = 0.004) and preschoolers (p &lt; 0.001). Similarly, children reported lower Food-Based Dietary Guidelines than preschoolers (p = 0.015). Regarding ultra-processed consumption, it was also observed a higher intake in adolescents than in children (p = 0.037), as well as in preschoolers (p &lt; 0.001). Conclusions: The associations that were found highlight the low proportion of the young population (especially adolescents) meeting the Food-Based Dietary Guidelines and the high consumption of ultra-processed foods during COVID-19 lockdown.</t>
  </si>
  <si>
    <t>López-Gil, José Francisco/AAN-5618-2020; Brazo-Sayavera, Javier/G-5601-2011; García-Hermoso, Antonio/ADU-2591-2022; Garcia-Hermoso, Antonio/P-1857-2017</t>
  </si>
  <si>
    <t>Garcia-Hermoso, Antonio/0000-0002-1397-7182</t>
  </si>
  <si>
    <t>OCT 22</t>
  </si>
  <si>
    <t>10.3389/fped.2021.702731</t>
  </si>
  <si>
    <t>WOS:000716536200001</t>
  </si>
  <si>
    <t>Santander-Nelli, M; Silva, CP; Espinoza-Vergara, J; Silva, JF; Olguín, CF; Cortés-Arriagada, D; Zagal, JH; Mendizabal, F; Díez-Pérez, I; Pavez, J</t>
  </si>
  <si>
    <t>Santander-Nelli, Mireya; Silva, Carlos P.; Espinoza-Vergara, Javier; Silva, Juan F.; Olguin, Camila F.; Cortes-Arriagada, Diego; Zagal, Jose H.; Mendizabal, Fernando; Diez-Perez, Ismael; Pavez, Jorge</t>
  </si>
  <si>
    <t>Tailoring electroactive surfaces by non-template molecular assembly. Towards electrooxidation of L-cysteine</t>
  </si>
  <si>
    <t>We have prepared a nanoelectrode ensemble containing vertically aligned single walled carbon nanotubes (SWCNTs) using a non-template molecular self-assembling strategy. We used a bottom-up construction approach to assemble amino functionalized SWCNTs (af-SWCNTs) in a well-defined architecture. These af-SWCNTs were linked and vertically aligned to pre-formed self-assembled monolayers of 4-MBA. A Cobalt(II) tetracarboxyphthalocyanine (Co(COOH)(4)Pc) complex was covalently bonded to external portion of af-SWCNTs to complete the final nanoelectrode ensemble. X-ray photoelectron spectroscopy (XPS) and Atomic Force Microcopy (AFM) confirmed the effectiveness of the assembling steps on the gold surface starting from the Au/MBA SAMs. The system Au/4-MBA/af-SWCNTs shows an interface with large ordered array, which exhibits a high activity for the electrooxidation of L-cysteine (L-cys). Theoretical calculations suggest that the incorporation of the af-SWCNTs increased the activity of the assembly to electronic transfer and it was observed that the electrooxidation reaction is energetically favorable. (C) 2017 Elsevier Ltd. All rights reserved.</t>
  </si>
  <si>
    <t>Díez-Pérez, Ismael/F-6402-2014; Cortés-Arriagada, Diego/J-5940-2019; zagal, jose/L-9648-2014; Silva, Carlos/IQS-5583-2023; PAVEZ, JORGE/K-6904-2014</t>
  </si>
  <si>
    <t>Santander-Nelli, Mireya/0000-0002-3687-6528; Mendizabal, Fernando/0000-0002-6912-8630; Cortes-Arriagada, Diego/0000-0002-6709-1723; Silva, Carlos P./0000-0001-5344-042X; PAVEZ, JORGE/0000-0002-5100-6707</t>
  </si>
  <si>
    <t>10.1016/j.electacta.2017.09.082</t>
  </si>
  <si>
    <t>WOS:000413239600022</t>
  </si>
  <si>
    <t>Ramos-Espinoza, F; Muñoz-Vasquez, C; Hernández-Martínez, J; Lucero, B; Herrera-Valenzuela, T; Branco, BHM; Váesquez-Carrasco, E; Cancino, M; Valdés-Badilla, P</t>
  </si>
  <si>
    <t>Ramos-Espinoza, Francisco; Munoz-Vasquez, Cristopher; Hernandez-Martinez, Jordan; Lucero, Boris; Herrera-Valenzuela, Tomas; Branco, Braulio H. Magnani; Vaesquez-Carrasco, Edgar; Cancino, Margarita; Valdes-Badilla, Pablo</t>
  </si>
  <si>
    <t>Effects of combat sports on cognitive function in older people: a systematic review</t>
  </si>
  <si>
    <t>JOURNAL OF SPORTS MEDICINE AND PHYSICAL FITNESS</t>
  </si>
  <si>
    <t>INTRODUCTION: This systematic review aimed to analyze the available body of published peer-reviewed studies on the effects of combat sports compared with active/passive control on cognitive function and electrophysiological markers of brain activity in older people. EVIDENCE ACQUISITION: The studies were searched in Scopus, Web of Science, PubMed, MEDLINE, and PsycINFO databases from dead-line to June 2023. The PRISMA, TESTEX, RoB, and GRADE scales assessed the evidence's methodological quality and certainty of evidence. The protocol was registered in PROSPERO (code: CRD42022361695). EVIDENCE SYNTHESIS: After reviewing 3768 studies, seven combat sports interventions (score &gt;= 60% in methodological quality) were se-lected, composed of 381 older people (63% female), with a mean age of 66 years. In the selected studies, interventions based on judo, karate, and taekwondo were carried out, where it was not possible to verify the benefits of combat sports in cognitive function and electrophysiologi-cal markers of brain activity regarding active/passive control groups, although the individual results of the analyzed studies indicate that the practice of combat sports favor selective attention, divided attention, executive function, visual perception, and cognitive processing speed in older people. CONCLUSIONS: The available evidence does not allow a definite recommendation regarding combat sports as an effective cognitive function intervention in older people.</t>
  </si>
  <si>
    <t>Branco, Braulio/AAA-1747-2019; Hernandez-Martinez, Jordan/AAK-5115-2020; Herrera-Valenzuela, Tomas/L-1819-2019; Lucero, Boris/LYO-9784-2024; Magnani Branco, Braulio Henrique/B-8178-2017</t>
  </si>
  <si>
    <t>Munoz Vasquez, Cristopher/0009-0001-6751-1994; Magnani Branco, Braulio Henrique/0000-0002-4625-9128</t>
  </si>
  <si>
    <t>0022-4707</t>
  </si>
  <si>
    <t>1827-1928</t>
  </si>
  <si>
    <t>10.23736/S0022-4707.23.15578-2</t>
  </si>
  <si>
    <t>JAN 2024</t>
  </si>
  <si>
    <t>WOS:001165991000001</t>
  </si>
  <si>
    <t>Mobile Apps for COVID-19 Detection and Diagnosis for Future Pandemic Control: Multidimensional Systematic Review (vol 12, e44406, 2024)</t>
  </si>
  <si>
    <t>Gheisari, Mehdi/AAU-2922-2020; Ghaderzadeh, Mustafa/GON-9856-2022; Fernández-Campusano, Christian/M-8749-2018; Taami, Tania/GNH-6387-2022; Sadeghsalehi, Hamidreza/AFH-6516-2022</t>
  </si>
  <si>
    <t>Ghaderzadeh, Mustafa/0000-0003-4016-3843; Sadeghsalehi, Hamidreza/0000-0001-9783-7795; /0000-0002-9982-1321</t>
  </si>
  <si>
    <t>e58810</t>
  </si>
  <si>
    <t>10.2196/58810</t>
  </si>
  <si>
    <t>WOS:001218140600002</t>
  </si>
  <si>
    <t>Dhanalakshmi, R; Denardin, JC; Sreekanth, TVM; Reddeppa, M; Rosaiah, P; Yoo, K; Kim, J</t>
  </si>
  <si>
    <t>Dhanalakshmi, Radhalayam; Denardin, Juliano C.; Sreekanth, T. V. M.; Reddeppa, Maddaka; Rosaiah, P.; Yoo, Kisoo; Kim, Jonghoon</t>
  </si>
  <si>
    <t>Synergistic magnetic field-photocatalysis for the concurrent removal of inorganic and organic contaminants over PrFeO3/ZnO heterostructures</t>
  </si>
  <si>
    <t>Improving the photocatalytic detoxifying performance of the existing photocatalysts via external fields is one of the effective alternative ways. Herein, we synthesized the PrFeO3 (PFO), ZnO, and PrFeO3/ZnO (PFO/ZnO) p-n heterostructure photocatalyst in situ through a simple hydrothermal method and demonstrated the impact of magnetic field (MF) on the simultaneous removal of inorganic Cr (VI) and organic pollutant phenol red (PR). The prepared photocatalysts were systematically characterized by various techniques including the FE-SEM, TEM, XRD, DRS, and VSM for their morphology, size, structural, optical, and magnetic properties. The PFO/ZnO nanocomposite demonstrated conspicuously enhanced photocatalytic activity towards the decompositions of the contaminants in comparison with their pure PFO and ZnO nanostructures owing to the effective electron/hole pairs separation by forming a hetero-junction structure. Significantly, high removal efficiencies (Cr (VI): 96.4 % and PR: 99.6%) were achieved by the PFO/ZnO nanocomposites for the concurrent decomposition of assorted (Cr (VI) or/and PR) pollutants by imposing the 0.5 T of an external magnetic field. The highest rate constant values (0.081 min  1 for Cr (VI) and 0.123 min  1 for PR) for removing the assorted pollutants were calculated for PFO/ ZnO photocatalyst which is 2.5 and 2.7 times higher than individual pollutant removal under the same magnetic field condition. The excellent catalytic performance of PFO/ZnO is ascribed to the magnetic field-induced syn-ergistic effect of high-rate photoinduced charge carrier separation and transfer through the interface of PFO/ ZnO. Moreover, the PFO/ZnO catalyst also exhibited good reusability, stability and achieved reproducibility in MF-assisted catalytic systems. The finding in this work may concede new insight for improving the photocatalytic performance in an external MF by designing semiconductor architectures.</t>
  </si>
  <si>
    <t>Rosaiah/B-4028-2014; Denardin, Juliano/S-6407-2019; Sreekanth, TVM/KIL-3043-2024</t>
  </si>
  <si>
    <t>10.1016/j.inoche.2023.111189</t>
  </si>
  <si>
    <t>WOS:001063535800001</t>
  </si>
  <si>
    <t>Lopez-Gil, JF; Cavero-Redondo, I; Tarraga-Lopez, PJ; de Camargo, EM; Sequi-Dominguez, I; Lucas, JLY; Cavichiolli, FR; Garcia-Hermoso, A</t>
  </si>
  <si>
    <t>Lopez-Gil, Jose Francisco; Cavero-Redondo, Ivan; Tarraga-Lopez, Pedro Juan; de Camargo, Edina Maria; Sequi-Dominguez, Irene; Yuste Lucas, Juan Luis; Renato Cavichiolli, Fernando; Garcia-Hermoso, Antonio</t>
  </si>
  <si>
    <t>Intensity of Physical Activity in Physical Education Classes and School Recesses and Its Associations with Body Mass Index and Global Fitness Score in Spanish Schoolchildren</t>
  </si>
  <si>
    <t>Background: Examining the association between excess weight or physical fitness and intensity of physical activity (PA) during Physical Education (PE) classes or school recesses and in children could be of great interest and importance, especially for future intervention programs or public policies related to PA. The aim of this study was to explore the association between intensity of PA in PE classes or school recesses and excess weight or global physical fitness in a sample of Spanish schoolchildren. Methods: We performed a cross-sectional study in the Valle de Ricote (Region of Murcia, Spain). A final sample of 350 Spanish schoolchildren between 6 and 13 years of age was included from six different schools. Intensity of PA during PE classes and recesses was assessed by the Physical Activity Questionnaire for Older Children (PAQ-C). To assess physical fitness, the extended ALPHA fitness test battery was used. Body mass index (z-score) was calculated following the age- and sex-specific thresholds of the World Health Organization. Results: Both body mass index (z-score) and Global Fitness Score (z-score) were lower in schoolchildren engaging in high intensity of PA in both PE lessons and school (p &lt; 0.05 for all). Lower odds of having excess weight were found in those who reported high intensity of PA in both PE classes and school recesses (OR = 0.54; CI 95%, 0.30-0.96). In these same participants, higher odds of being in the high Global Fitness Score tertile were found (OR = 1.96; CI 95%, 1.01-3.85). Conclusions: Our study showed that higher intensity of PA in PE classes and school recesses was associated with lower excess weight and higher global physical fitness.</t>
  </si>
  <si>
    <t>García-Hermoso, Antonio/ADU-2591-2022; Cavero Redondo, Iván/HII-7855-2022; Camargo, Edina/ABO-1021-2022; López-Gil, José Francisco/AAN-5618-2020; Sequí Domínguez, Irene/AAZ-2915-2021; cavichiolli, Fernando/Q-8968-2017; Garcia-Hermoso, Antonio/P-1857-2017</t>
  </si>
  <si>
    <t>Garcia-Hermoso, Antonio/0000-0002-1397-7182; de Camargo, Edina Maria/0000-0003-2127-2606; Tarraga Lopez, Pedro Juan/0000-0002-5222-5784; yuste lucas, juan luis/0000-0001-9699-756X; Cavero-Redondo, Ivan/0000-0003-2617-0430; Lopez-Gil, Jose Francisco/0000-0002-7412-7624; Sequi-Dominguez, Irene/0000-0001-8981-4331</t>
  </si>
  <si>
    <t>10.3390/app112311337</t>
  </si>
  <si>
    <t>WOS:000735646900001</t>
  </si>
  <si>
    <t>Del Canto, F; Botkin, DJ; Valenzuela, P; Popov, V; Ruiz-Perez, F; Nataro, JP; Levine, MM; Stine, OC; Pop, M; Torres, AG; Vidal, R</t>
  </si>
  <si>
    <t>Del Canto, Felipe; Botkin, Douglas J.; Valenzuela, Patricio; Popov, Vsevolod; Ruiz-Perez, Fernando; Nataro, James P.; Levine, Myron M.; Stine, O. Colin; Pop, Mihai; Torres, Alfredo G.; Vidal, Roberto</t>
  </si>
  <si>
    <t>Identification of Coli Surface Antigen 23, a Novel Adhesin of Enterotoxigenic Escherichia coli</t>
  </si>
  <si>
    <t>INFECTION AND IMMUNITY</t>
  </si>
  <si>
    <t>Enterotoxigenic Escherichia coli (ETEC) is an important cause of diarrhea, mainly in developing countries. Although there are 25 different ETEC adhesins described in strains affecting humans, between 15% and 50% of the clinical isolates from different geographical regions are negative for these adhesins, suggesting that additional unidentified adhesion determinants might be present. Here, we report the discovery of Coli Surface Antigen 23 (CS23), a novel adhesin expressed by an ETEC serogroup 04 strain (ETEC 1766a), which was negative for the previously known ETEC adhesins, albeit it has the ability to adhere to Caco-2 cells. CS23 is encoded by an 8.8-kb locus which contains 9 open reading frames (ORFs), 7 of them sharing significant identity with genes required for assembly of K88-related fimbriae. This gene locus, named aal (adhesion-associated locus), is required for the adhesion ability of ETEC 1766a and was able to confer this adhesive phenotype to a nonadherent E. coli HB101 strain. The CS23 major structural subunit, AalE, shares limited identity with known pilin proteins, and it is more closely related to the CS13 pilin protein CshE, carried by human ETEC strains. Our data indicate that CS23 is a new member of the diverse adhesin repertoire used by ETEC strains.</t>
  </si>
  <si>
    <t>Valenzuela, Patricio/F-8264-2016; Ruiz, Fernando/ABD-8411-2022; Del Canto, Felipe/P-1707-2014; Pop, Mihai/A-7987-2013</t>
  </si>
  <si>
    <t>Pop, Mihai/0000-0001-9617-5304; Vidal, Roberto/0000-0003-4223-1985; Torres, Alfredo/0000-0001-6450-0643</t>
  </si>
  <si>
    <t>0019-9567</t>
  </si>
  <si>
    <t>1098-5522</t>
  </si>
  <si>
    <t>10.1128/IAI.00263-12</t>
  </si>
  <si>
    <t>WOS:000306677300020</t>
  </si>
  <si>
    <t>Ubilla-Mejias, M; Espoz-Lazo, S; Valdivia-Moral, P; Piñeiro-Cossio, J; Castillo-Paredes, A; del Val-Martin, P; Andrades-Ramirez, O; Peña-Baeza, A; Farias-Valenzuela, C</t>
  </si>
  <si>
    <t>Ubilla-Mejias, Melissa; Espoz-Lazo, Sebastian; Valdivia-Moral, Pedro; Pineiro-Cossio, Javier; Castillo-Paredes, Antonio; del Val-Martin, Pablo; Andrades-Ramirez, Oscar; Pena-Baeza, Alonso; Farias-Valenzuela, Claudio</t>
  </si>
  <si>
    <t>Effects of an adapted crossfit program combined with nutritional counseling on adiposity indicators, muscular fitness and functionality of young people with intellectual disabilities</t>
  </si>
  <si>
    <t>SPORT TK-REVISTA EUROAMERICANA DE CIENCIAS DEL DEPORTE</t>
  </si>
  <si>
    <t>The aim of this study was to determine the effects of a combined adapted CrossFit (R) training program and nutritional counseling on indicators of adiposity, muscular fitness and functionality of school-age adolescents with intellectual disabilities. The sample was made up of (n=11) subjects belonging to the work level of a special education center in Santiago de Chile. Anthropometric measurements of adiposity, muscle strength, and functional capacity were performed before and after a combined 15- week adapted Crossfit (R) training and nutritional counseling program. Significant changes were observed in adiposity indicators such as the waist-height ratio (Delta% =-6.12), in the landing force in the countermovement jump (Delta% =-18.34) and in the 5-hour functional tests. repetitions of getting up and sitting down. down from a chair (Delta% =-8.16), Timed up and go (Delta% =-8.15), Countermovement jump (Delta% =-8.36) and in the 4 x 10 m Agility test (Delta% =-8.00). In conclusion, a 15-week combined training program of adapted CrossFit (R) and nutritional counseling had positive effects on indicators of adiposity, muscular fitness and functionality in a sample of school-aged adolescents with intellectual disabilities. This intervention strategy is safe and can be used to promote the practice of physical exercise and healthy lifestyles from special educational establishments.</t>
  </si>
  <si>
    <t>Espoz-Lazo, Sebastian/AAV-2358-2020; Piñeiro-Cossio, Javier/KYR-2856-2024; Castillo-Paredes, Antonio/HLP-6825-2023; Valdivia-Moral, Pedro/J-7490-2013</t>
  </si>
  <si>
    <t>2340-8812</t>
  </si>
  <si>
    <t>WOS:001360797000008</t>
  </si>
  <si>
    <t>Melenchon, F; de Mercado, E; Pula, HJ; Cardenete, G; Barroso, FG; Fabrikov, D; Lourenco, HM; Pessoa, MF; Lagos, L; Weththasinghe, P; Cortes, M; Tomas-Almenar, C</t>
  </si>
  <si>
    <t>Melenchon, Federico; de Mercado, Eduardo; Pula, Hector J.; Cardenete, Gabriel; Barroso, Fernando G.; Fabrikov, Dmitri; Lourenco, Helena M.; Pessoa, Maria-Fernanda; Lagos, Leidy; Weththasinghe, Pabodha; Cortes, Marcos; Tomas-Almenar, Cristina</t>
  </si>
  <si>
    <t>Fishmeal Dietary Replacement Up to 50%: A Comparative Study of Two Insect Meals for Rainbow Trout (Oncorhynchus mykiss)</t>
  </si>
  <si>
    <t>Simple Summary The reduction of dependence on fishmeal as a main protein source for aquafeeds remains a big problem in reaching sustainable aquaculture. Several alternatives to this ingredient are being tested and developed, insects being one of the most promising. The present study included two different insect species (black soldier fly, Hermetia illucens, and yellow mealworm, Tenebrio molitor) in the formulation of diets for rainbow trout (Oncorhynchus mykiss) against one typical fishmeal-based diet. Different parameters related to both the efficiency of these diets and their physiological repercussions were analysed. Yellow mealworm proved to be the best alternative for the growth and nutrition of rainbow trout, possibly due to some changes described in protein utilization and intestine histology, while other parameters revealed the possible usage of insect meals as functional ingredients due to their repercussions on preventing tissue damage. The demand of optimal protein for human consumption is growing. The Food and Agriculture Organization (FAO) has highlighted aquaculture as one of the most promising alternatives for this protein supply gap due to the high efficiency of fish growth. However, aquaculture has been facing its own sustainability problem, because its high demand for protein has been traditionally satisfied with the use of fishmeal (FM) as the main source. Some of the most promising and sustainable protein substitutes for FM come from insects. The present manuscript provides insight into an experiment carried out on rainbow trout (Oncorhynchus mykiss) with a 50% replacement of FM with different larvae insect meals: Hermetia illucens (HI), and Tenebrio molitor (TM). TM showed better results for growth, protein utilization and more active digestive function, supported by intestinal histological changes. Liver histology and intermediary metabolism did not show relevant changes between insect meals, while other parameters such as antioxidant enzyme activities and tissue damage indicators showed the potential of insect meals as functional ingredients.</t>
  </si>
  <si>
    <t>Tomás-Almenar, Cristina/HPB-7239-2023; Pula, Héctor/AAU-1468-2020; De Mercado, Eduardo/GOJ-8974-2022; Cardenete, Gabriel/X-2198-2018; Lourenço, Helena/AAK-7472-2020; Weththasinghe, Pabodha/AAT-8493-2021; Lourenco, Helena Maria/D-6290-2012</t>
  </si>
  <si>
    <t>Pessoa, Maria/0000-0002-9352-9776; Cardenete Hernandez, Gabriel/0000-0002-7238-1872; de Mercado, Eduardo/0000-0003-0321-2431; Barroso, Fernando/0000-0001-8828-9686; Weththasinghe, Pabodha/0000-0003-1880-1837; Fabrikov, Dmitri/0000-0001-5048-4232; Lourenco, Helena Maria/0000-0002-3495-238X; Tomas, Cristina/0000-0002-0866-240X</t>
  </si>
  <si>
    <t>10.3390/ani12020179</t>
  </si>
  <si>
    <t>WOS:000757965400001</t>
  </si>
  <si>
    <t>Agostinis-Sobrinho, C; García-Hermoso, A; Ramírez-Vélez, R; Moreira, C; Lopes, L; Oliveira-Santos, J; Póvoas, SC; Mota, J; Santos, R</t>
  </si>
  <si>
    <t>Agostinis-Sobrinho, C.; Garcia-Hermoso, A.; Ramirez-Velez, R.; Moreira, C.; Lopes, L.; Oliveira-Santos, J.; Povoas, S. C.; Mota, J.; Santos, R.</t>
  </si>
  <si>
    <t>Longitudinal association between ideal cardiovascular health status and muscular fitness in adolescents: The LabMed Physical Activity Study</t>
  </si>
  <si>
    <t>Background and aims: Muscular fitness is an emerging predictor for cardiovascular disease mortality. The ideal cardiovascular health metrics has been inversely related to a subsequent cardiometabolic health in adulthood. However, evidence regarding muscular fitness and ideal cardiovascular health in adolescents is scarce. This study aimed to examine the longitudinal association between ideal cardiovascular health index and muscular fitness. Methods and results: This study cohort consisted of 331 adolescents (183 girls) from the LabMed Physical Activity Study who were followed from 2011 to 2013. Ideal cardiovascular health, as defined by the American Heart Association, was determined as meeting ideal health factors (total cholesterol, blood pressure, and glucose) and behaviors (smoking status, body mass index, physical activity, and diet). Handgrip strength and standing long jump tests assessed muscular fitness and were transformed into standardized values according to age and sex. ANCOVA showed a significant association between the accumulation of ideal cardiovascular health metrics at baseline and muscular fitness indices at follow-up (F-(4,F- 322) = 2.280, p = 0.04). In addition, the higher the number of ideal cardiovascular health metrics accumulated, the higher the likelihood of having a high muscular fitness over a two-year period (p for trend = 0.01), after adjustments for age, sex, pubertal stage and socioeconomic status and muscular fitness at baseline. Conclusion: The ideal cardiovascular health status during adolescence was associated with high muscular fitness levels over a two-year period. (C) 2018 The Italian Society of Diabetology, the Italian Society for the Study of Atherosclerosis, the Italian Society of Human Nutrition, and the Department of Clinical Medicine and Surgery, Federico II University. Published by Elsevier B.V. All rights reserved.</t>
  </si>
  <si>
    <t>Lopes, Luis/AAX-7957-2020; Santos-Victor, José/K-2093-2012; García-Hermoso, Antonio/ADU-2591-2022; Póvoas, Susana/R-1165-2018; Garcia-Hermoso, Antonio/P-1857-2017; Moreira, Carla/G-5176-2011; Ramirez-Velez, Robinson/D-5311-2016; mota, jorge/B-2980-2013; Santos, Rute/A-6401-2012; Agostinis Sobrinho, Cesar Aparecido/B-4971-2018; Lopes, Luis/M-3767-2013</t>
  </si>
  <si>
    <t>Garcia-Hermoso, Antonio/0000-0002-1397-7182; Povoas, Susana/0000-0002-6661-3673; Moreira, Carla/0000-0003-1039-6320; Oliveira-Santos, Jose/0000-0003-2739-6183; Ramirez-Velez, Robinson/0000-0003-3075-6960; mota, jorge/0000-0001-7571-9181; Santos, Rute/0000-0002-7604-5753; Agostinis Sobrinho, Cesar Aparecido/0000-0001-9104-9042; Lopes, Luis/0000-0001-6680-0893</t>
  </si>
  <si>
    <t>10.1016/j.numecd.2018.05.012</t>
  </si>
  <si>
    <t>WOS:000441283600005</t>
  </si>
  <si>
    <t>Rojas-Líbano, D; del Solar, JW; Aguilar-Rivera, M; Montefusco-Siegmund, R; Maldonado, PE</t>
  </si>
  <si>
    <t>Rojas-Libano, Daniel; del Solar, Jonathan Wimmer; Aguilar-Rivera, Marcelo; Montefusco-Siegmund, Rodrigo; Maldonado, Pedro E.</t>
  </si>
  <si>
    <t>Local cortical activity of distant brain areas can phase-lock to the olfactory bulb's respiratory rhythm in the freely behaving rat</t>
  </si>
  <si>
    <t>JOURNAL OF NEUROPHYSIOLOGY</t>
  </si>
  <si>
    <t>An important unresolved question about neural processing is the mechanism by which distant brain areas coordinate their activities and relate their local processing to global neural events. A potential candidate for the local-global integration are slow rhythms such as respiration. In this study, we asked if there are modulations of local cortical processing that are phase-locked to (peripheral) sensory-motor exploratory rhythms. We studied rats on an elevated platform where they would spontaneously display exploratory and rest behaviors. Concurrent with behavior, we monitored whisking through electromyography and the respiratory rhythm from the olfactory bulb (013) local field potential (LFP). We also recorded LFPs from dorsal hippocampus, primary motor cortex, primary somatosensory cortex, and primary visual cortex. We defined exploration as simultaneous whisking and sniffing above 5 Hz and found that this activity peaked at similar to 8 Hz. We considered rest as the absence of whisking and sniffing, and in this case, respiration occurred at similar to 3 Hz. We found a consistent shift across all areas toward these rhythm peaks accompanying behavioral changes. We also found, across areas, that LFP gamma (70-100 Hz) amplitude could phase-lock to the animal's OB respiratory rhythm, a finding 'indicative of respiration-locked changes in local processing. In a subset of animals, we also recorded the hippocampal theta activity and found that occurred at frequencies overlapped with respiration but was not spectrally coherent with it, suggesting a different oscillator. Our results are consistent with the notion of respiration as a binder or integrator of activity between brain regions. NEW &amp; NOTEWORTHY In freely behaving rats, we found that local cortical activity within distant brain areas can phase-lock to the respiratory rhythm, more prominently during exploratory behavior than during basal respiration conditions. The findings suggest that the respiration rhythm can provide a common neural clock to integrate animal's internal rhythms can be used as a reference time analyze physiological activity in free behavior conditions.</t>
  </si>
  <si>
    <t>Montefusco, Rodrigo/FUS-0662-2022; Rojas-Libano, Daniel/K-8249-2012; Maldonado, Pedro/AAH-7670-2019</t>
  </si>
  <si>
    <t>Rojas-Libano, Daniel/0000-0002-9517-5545; Montefusco-Siegmund, Rodrigo/0000-0001-8296-1195</t>
  </si>
  <si>
    <t>0022-3077</t>
  </si>
  <si>
    <t>1522-1598</t>
  </si>
  <si>
    <t>10.1152/jn.00088.2018</t>
  </si>
  <si>
    <t>WOS:000444097100009</t>
  </si>
  <si>
    <t>Paredes-García, V; Vega, A; Novak, MA; Vaz, MGF; Souza, DA; Venegas-Yazigi, D; Spodine, E</t>
  </si>
  <si>
    <t>Paredes-Garcia, Veronica; Vega, Andres; Novak, Miguel A.; Vaz, Maria G. F.; Souza, Denise A.; Venegas-Yazigi, Diego; Spodine, Evgenia</t>
  </si>
  <si>
    <t>Crystal Structure and Magnetic Properties of a New Chiral Manganese(II) Three-Dimensional Framework: Na3[Mn3(HCOO)9]</t>
  </si>
  <si>
    <t>A structural and magnetic characterization of a trinuclear chiral Mn(II) formate three-dimensional framework exhibiting a triangular arrangement is presented. Compound Na-3[Mn-3(HCOO)(9)] was obtained by solvothermal synthesis and crystallizes in the chiral cubic space group P2(1)3 and is well described by a Delta conformation. The structure displays triangular Mn-3 building blocks, in which the metal centers are bonded by formate ligands in a syn-anti mode (Mn-Mn 5.697(1) angstrom). The coordination sphere of manganese(II) is completed by six, oxygen atoms from six formate ligands, resulting in an octahedral geometry. Magnetic susceptibility measurements showed antiferromagnetic interactions at high temperature and a strongly field dependent magnetic behavior below 40 K. At fields higher than 1.0 kOe only the antiferromagnetic interactions can be observed. At applied fields lower than 1.0 kOe magnetic susceptibility becomes irreversible with maxima observed at 22 and 34 K. These maxima suggest a weak ferromagnetic behavior because of spin canting, allowed by the presence of the noncentrosymmetric syn-anti HCOO bridges linking the Mn sites. This non-collinear antiferromagnetism and irreversible behavior can be due to the existence of a high degree of frustration in this unique lattice composed of linked triangular arrangements of interacting magnetic centers.</t>
  </si>
  <si>
    <t>Novak, Miguel/IZP-7982-2023; Vega, Andres/B-2122-2010; Paredes-Garcia, Veronica/C-4415-2011; Venegas-Yazigi, Diego/C-5022-2009; Vaz, Maria/J-2908-2012</t>
  </si>
  <si>
    <t>Venegas-Yazigi, Diego/0000-0001-7816-2841; Vaz, Maria/0000-0001-9855-5909; Vega, Andres/0000-0001-6501-4161</t>
  </si>
  <si>
    <t>10.1021/ic8019292</t>
  </si>
  <si>
    <t>WOS:000266428100033</t>
  </si>
  <si>
    <t>Arcos, J; Grunenwald, F; Sepulveda, D; Jerez, C; Urbina, V; Huerta, T; Troncoso-Escudero, P; Tirado, D; Perez, A; Diaz-Espinoza, R; Nova, E; Kubitscheck, U; Rodriguez-Gatica, JE; Hetz, C; Toledo, J; Ahumada, P; Rojas-Rivera, D; Martin-Montañez, E; Garcia-Fernandez, M; Vidal, RL</t>
  </si>
  <si>
    <t>Arcos, Javiera; Grunenwald, Felipe; Sepulveda, Denisse; Jerez, Carolina; Urbina, Valentina; Huerta, Tomas; Troncoso-Escudero, Paulina; Tirado, Daniel; Perez, Angela; Diaz-Espinoza, Rodrigo; Nova, Esteban; Kubitscheck, Ulrich; Rodriguez-Gatica, Juan Eduardo; Hetz, Claudio; Toledo, Jorge; Ahumada, Pablo; Rojas-Rivera, Diego; Martin-Montanez, Elisa; Garcia-Fernandez, Maria; Vidal, Rene L.</t>
  </si>
  <si>
    <t>IGF2 prevents dopaminergic neuronal loss and decreases intracellular alpha-synuclein accumulation in Parkinson's disease models</t>
  </si>
  <si>
    <t>CELL DEATH DISCOVERY</t>
  </si>
  <si>
    <t>Parkinson's disease (PD) is the second most common late-onset neurodegenerative disease and the predominant cause of movement problems. PD is characterized by motor control impairment by extensive loss of dopaminergic neurons in the substantia nigra pars compacta (SNpc). This selective dopaminergic neuronal loss is in part triggered by intracellular protein inclusions called Lewy bodies, which are composed mainly of misfolded alpha-synuclein (alpha-syn) protein. We previously reported insulin-like growth factor 2 (IGF2) as a key protein downregulated in PD patients. Here we demonstrated that IGF2 treatment or IGF2 overexpression reduced the alpha-syn aggregates and their toxicity by IGF2 receptor (IGF2R) activation in cellular PD models. Also, we observed IGF2 and its interaction with IGF2R enhance the alpha-syn secretion. To determine the possible IGF2 neuroprotective effect in vivo we used a gene therapy approach in an idiopathic PD model based on alpha-syn preformed fibrils intracerebral injection. IGF2 gene therapy revealed a significantly preventing of motor impairment in idiopathic PD model. Moreover, IGF2 expression prevents dopaminergic neuronal loss in the SN together with a decrease in alpha-syn accumulation (phospho-alpha-syn levels) in the striatum and SN brain region. Furthermore, the IGF2 neuroprotective effect was associated with the prevention of synaptic spines loss in dopaminergic neurons in vivo. The possible mechanism of IGF2 in cell survival effect could be associated with the decrease of the intracellular accumulation of alpha-syn and the improvement of dopaminergic synaptic function. Our results identify to IGF2 as a relevant factor for the prevention of alpha-syn toxicity in both in vitro and preclinical PD models.</t>
  </si>
  <si>
    <t>Martín-Montañez, Elisa/H-8999-2017; Rodriguez-Gatica, Juan Eduardo/HGF-0706-2022; Vidal, Rene/S-7154-2019; Rojas-Riviera, Diego/AAN-5222-2020; Grunenwald, felipe/GVT-6646-2022; Diaz-Espinoza, Rodrigo/HDM-8819-2022; Hetz, Claudio/ABD-7514-2021; Toledo, Jorge/JVO-3091-2024; Garcia Fernandez, Maria Inmaculada/H-8196-2017; Rojas-Rivera, Diego/N-1870-2016</t>
  </si>
  <si>
    <t>Huerta, Tomas/0000-0002-3556-1831; Ahumada-Montalva, Pablo/0000-0003-4326-6995; Vidal, Rene/0000-0002-4305-7387; Garcia Fernandez, Maria Inmaculada/0000-0002-6436-1361; Rojas-Rivera, Diego/0000-0002-8773-9830; GRUNENWALD BRAVO, FELIPE ANDRES/0000-0002-7182-618X; Toledo, Jorge/0000-0001-8678-558X</t>
  </si>
  <si>
    <t>2058-7716</t>
  </si>
  <si>
    <t>DEC 2</t>
  </si>
  <si>
    <t>10.1038/s41420-023-01734-1</t>
  </si>
  <si>
    <t>WOS:001112295200001</t>
  </si>
  <si>
    <t>Valdés-Badilla, P; Herrera-Valenzuela, T; Guzmán-Muñoz, E; Delgado-Floody, P; Núñez-Espinosa, C; Monsalves-Alvarez, M; Andrade, DC</t>
  </si>
  <si>
    <t>Valdes-Badilla, Pablo; Herrera-Valenzuela, Tomas; Guzman-Munoz, Eduardo; Delgado-Floody, Pedro; Nunez-Espinosa, Cristian; Monsalves-Alvarez, Matias; Andrade, David Cristobal</t>
  </si>
  <si>
    <t>Effects of Olympic Combat Sports on Health-Related Quality of Life in Middle-Aged and Older People: A Review</t>
  </si>
  <si>
    <t>Olympic combat sports are unconventional physical activity strategies to train middle-aged and older people with and without health problems. This systematic review aimed to assess the available body of published peer-reviewed articles related to the effects of Olympic combat sports interventions (boxing, fencing, judo, karate, taekwondo, wrestling) on health-related quality of life in adults aged 45 and older. The search was carried out in five generic databases until July 2021 and the protocol was registered in PROSPERO (code: CRD42021244161). The PRISMA guidelines were followed and the Downs and Black checklist was used to assessed the methodological quality of the studies. After reviewing 1,151 records, only seven studies met the inclusion criteria, adding 212 participants (43.4% female) with a mean age of 63.7 years. Six studies (two with middle-aged participants and four with older people) provided data to calculate the effect size (ES) in the Olympic combat sports groups (No research that used taekwondo or wrestling as an intervention modality was found). Three studies reported beneficial changes with a small ES for the total score (d &lt; 0.40) of the health-related quality of life. Two studies reported a beneficial change with a small ES (d = 0.49) and strong ES (d = 4.45) for physical health. One study reported improvements with a small ES for emotional (d = 0.23) and functional (d = 0.26) well-being. In conclusion, interventions based on Olympic combat sports produce beneficial effects with a small and moderate ES on health-related quality of life in male and female aged 45 and older who are healthy participants, participants with Parkinson's disease, and participants with breast cancer.&amp; nbsp;&amp; nbsp;Systematic Review Registration: https://www.crd.york.ac.uk/prospero/, PROSPERO: CRD42021244161.&amp; nbsp;&amp; nbsp;</t>
  </si>
  <si>
    <t>Delgado-Floody, Pedro/D-9779-2019; Andrade, David/S-5896-2019; Monsalves-Alvarez, Matias/K-7610-2019; Herrera-Valenzuela, Tomas/L-1819-2019; Núñez-Espinosa, Cristian/ADF-6181-2022; Monsalves-Alvarez, Matias/A-6303-2017</t>
  </si>
  <si>
    <t>Nunez Espinosa, Cristian Andres/0000-0002-9896-7062; Andrade, David Cristobal/0000-0003-2006-1444; Monsalves-Alvarez, Matias/0000-0003-3163-3911; Caldas de Andrade, Daniela/0000-0002-7907-9342; Guzman-Munoz, Eduardo/0000-0001-7001-9004</t>
  </si>
  <si>
    <t>JAN 5</t>
  </si>
  <si>
    <t>10.3389/fpsyg.2021.797537</t>
  </si>
  <si>
    <t>WOS:000757600200001</t>
  </si>
  <si>
    <t>Mazzeo, A; Huneeus, N; Ordoñez, C; Orfanoz-Cheuquelaf, A; Menut, L; Mailler, S; Valari, M; van der Gon, HD; Gallardo, L; Muñoz, R; Donoso, R; Galleguillos, M; Osses, M; Tolvett, S</t>
  </si>
  <si>
    <t>Mazzeo, Andrea; Huneeus, Nicolas; Ordonez, Cesar; Orfanoz-Cheuquelaf, Andrea; Menut, Laurent; Mailler, Sylvan; Valari, Myrto; van der Gon, Hugo Denier; Gallardo, Laura; Munoz, Ricardo; Donoso, Rodrigo; Galleguillos, Mauricio; Osses, Mauricio; Tolvett, Sebastian</t>
  </si>
  <si>
    <t>Impact of residential combustion and transport emissions on air pollution in Santiago during winter</t>
  </si>
  <si>
    <t>ATMOSPHERIC ENVIRONMENT</t>
  </si>
  <si>
    <t>Santiago (33.5 degrees S, 70.5 degrees W), the capital of Chile, is frequently affected by extreme air pollution events during wintertime deteriorating air quality (AQ) and thus affecting the health of its population. Intense residential heating and on-road transport emissions combined with poor circulation and vertical mixing are the main factors responsible for these events. A modelling system composed of a chemistry-transport model (CHIMERE) and a meteorological model (WRF) was implemented to assess the AQ impacts of residential and transportation sources in the Santiago basin. A two-week period of July 2015 with various days with poor AQ was simulated focusing on the impact on AQ with respect to fully inhalable particles (PM2.5) and nitrogen oxides (NOx). Three emission scenarios, within the range of targeted reductions of the decontamination plan of Santiago, were tested; namely 50% reduction of residential emission, 50% reduction of transport emissions and the combination of both. An additional scenario decreasing transport emissions in 10% was carried out to examine whether a linear dependence of surface concentrations on changes in emissions exists. The system was validated against surface and vertically resolved meteorological measurements. The model reproduces the daily surface concentration variability from the AQ monitoring network of Santiago. However, the model not fully captures the emissions variations inferred from the observations which may be due to missing sources such as resuspension of dust. Results show that, during the period studied, although both residential and transportation sources contribute to observed AQ levels in Santiago, reducing transport emissions is more effective in terms of reducing the number of days with pollution events than decreasing residential combustion. This difference in impact is largely due to the spatial distribution of the emission sources. While most of the residential combustion is emitted in the outskirts of the city, most of the transport emissions occur within the city, where most of the stations from AQ monitoring network of Santiago are located. As can be expected, the largest improvement of AQ in Santiago is achieved by the combined reduction of emissions in both sectors. Sensitivity analysis with 10% reduction in transport emissions reveals a linear behavior between emissions and concentrations for NOx and approximate linear behavior for PM2.5. The absence of secondary aerosols formation and dust resuspension in the current simulation could explain this deviation from linearity for fine particles. Nevertheless, it suggests that the results can be used for mitigation policies with emissions reductions below the 50% used in this study.</t>
  </si>
  <si>
    <t>Huneeus, Nicolas/IVH-5476-2023; Mailler, Sylvain/KMX-4770-2024; Ordóñez, César/HPH-8489-2023; Menut, Laurent/O-2296-2016; Mazzeo, Andrea/GSN-0565-2022; Gallardo, Laura/H-4370-2013; Munoz, Ricardo/A-1967-2011; Galleguillos, Mauricio/I-1571-2013; Mailler, Sylvain/R-7778-2017</t>
  </si>
  <si>
    <t>Orfanoz-Cheuquelaf, Andrea/0000-0001-8346-5409; Mazzeo, Andrea/0000-0002-7109-0934; Huneeus, Nicolas/0000-0002-6214-5518; Gallardo, Laura/0000-0001-7605-3721; Munoz, Ricardo/0000-0002-4434-5620; Osses, Mauricio/0000-0002-5547-4049; Denier van der Gon, Hugo/0000-0001-9552-3688; Galleguillos, Mauricio/0000-0003-4617-0980; Donoso, Rodrigo/0000-0002-3380-5484; Ordonez, Cesar/0000-0001-6295-7690; Mailler, Sylvain/0000-0002-4287-713X</t>
  </si>
  <si>
    <t>1352-2310</t>
  </si>
  <si>
    <t>1873-2844</t>
  </si>
  <si>
    <t>10.1016/j.atmosenv.2018.06.043</t>
  </si>
  <si>
    <t>WOS:000444659400019</t>
  </si>
  <si>
    <t>Pozo, K; Estellano, VH; Harner, T; Diaz-Robles, L; Cereceda-Balic, F; Etcharren, P; Pozo, K; Vidal, V; Guerrero, F; Vergara-Fernández, A</t>
  </si>
  <si>
    <t>Pozo, Karla; Estellano, Victor H.; Harner, Tom; Diaz-Robles, Luis; Cereceda-Balic, Francisco; Etcharren, Pablo; Pozo, Katerine; Vidal, Victor; Guerrero, Fabian; Vergara-Fernandez, Alberto</t>
  </si>
  <si>
    <t>Assessing Polycyclic Aromatic Hydrocarbons (PAHs) using passive air sampling in the atmosphere of one of the most wood-smoke-polluted cities in Chile: The case study of Temuco</t>
  </si>
  <si>
    <t>This study addresses human health concerns in the city of Temuco that are attributed to wood smoke and related pollutants associated with wood burning activities that are prevalent in Temuco. Polycyclic Aromatic Hydrocarbons (PAHs) were measured in air across urban and rural sites over three seasons in Temuco using polyurethane foam (PUF) disk passive air samplers (PUF-PAS). Concentrations of Sigma PAHs (15 congeners) in air ranged from BDL to similar to 70 ng m(-3) and were highest during the winter season, which is attributed to emissions from residential heating by wood combustion. The results for all three seasons showed that the PAH plume was widespread across all sites including rural sites on the outskirts of Temuco. Some interesting variations were observed between seasons in the composition of PAHs, which were attributed to differences in seasonal point sources. A comparison of the PAH composition in the passive samples with active samples (gas + particle phase) from the same site revealed similar congener profiles. Overall, the study demonstrated that the PUF disk passive air sampler provides a simple approach for measuring PAHs in air and for tracking effectiveness of pollution control measures in urban areas in order to improve public health. (C) 2015 Elsevier Ltd. All rights reserved.</t>
  </si>
  <si>
    <t>Pozo, Karla/D-3822-2012; Vergara-Fernández, Alberto/D-1770-2011; Diaz-Robles, Luis/D-3450-2013; Cereceda-Balic, Francisco/N-4479-2017</t>
  </si>
  <si>
    <t>Vergara-Fernandez, Alberto/0000-0002-6075-9137; Diaz-Robles, Luis/0000-0002-6098-7746; Cereceda-Balic, Francisco/0000-0001-7761-1051; Pozo, Karla/0000-0001-7747-7518; Guerrero, Fabian/0000-0002-0157-4343</t>
  </si>
  <si>
    <t>10.1016/j.chemosphere.2015.04.077</t>
  </si>
  <si>
    <t>WOS:000356549500065</t>
  </si>
  <si>
    <t>Jiménez-Dinamarca, I; Prado, Y; Tapia, P; Gatica, S; Alt, C; Lin, CP; Reyes-Martínez, C; Feijóo, CG; Aravena, C; González-Canacer, A; Correa, S; Varela, D; Cabello-Verrugio, C; Simon, F</t>
  </si>
  <si>
    <t>Jimenez-Dinamarca, Ivanka; Prado, Yolanda; Tapia, Pablo; Gatica, Sebastian; Alt, Clemens; Lin, Charles P. P.; Reyes-Martinez, Cristian; Feijoo, Carmen G.; Aravena, Cristobal; Gonzalez-Canacer, Alejandra; Correa, Simon; Varela, Diego; Cabello-Verrugio, Claudio; Simon, Felipe</t>
  </si>
  <si>
    <t>Disseminated intravascular coagulation phenotype is regulated by the TRPM7 channel during sepsis (vol 56, 8, 2023)</t>
  </si>
  <si>
    <t>Varela, Diego/AAG-7489-2019; Tapia, Pablo/J-2096-2016; Gatica, Sebastian/F-5669-2012; Cabello-Verrugio, Claudio/AAD-1454-2020</t>
  </si>
  <si>
    <t>Dinamarca, Ivanka/0000-0002-5118-6349</t>
  </si>
  <si>
    <t>10.1186/s40659-023-00433-6</t>
  </si>
  <si>
    <t>WOS:000986696200001</t>
  </si>
  <si>
    <t>Silva, D; Arcos, C; Montero, C; Guerra, C; Martinez, C; Li, XJ; Ringuede, A; Cassir, M; Ogle, K; Guzman, D; Aguilar, C; Paez, M; Sancy, M</t>
  </si>
  <si>
    <t>Silva, Daniela; Arcos, Camila; Montero, Cecilia; Guerra, Carolina; Martinez, Carola; Li, Xuejie; Ringuede, Armelle; Cassir, Michel; Ogle, Kevin; Guzman, Danny; Aguilar, Claudio; Paez, Maritza; Sancy, Mamie</t>
  </si>
  <si>
    <t>A Tribological and Ion Released Research of Ti-Materials for Medical Devices</t>
  </si>
  <si>
    <t>The increase in longevity worldwide has intensified the use of different types of prostheses for the human body, such as those used in dental work as well as in hip and knee replacements. Currently, Ti-6Al-4V is widely used as a joint implant due to its good mechanical properties and durability. However, studies have revealed that this alloy can release metal ions or particles harmful to human health. The mechanisms are not well understood yet and may involve wear and/or corrosion. Therefore, in this work, commercial pure titanium and a Ti-6Al-4V alloy were investigated before and after being exposed to a simulated biological fluid through tribological tests, surface analysis, and ionic dissolution characterization by ICP-AES. Before exposure, X-ray diffraction and optical microscopy revealed equiaxed alpha-Ti in both materials and beta-Ti in Ti-6Al-4V. Scratch tests exhibited a lower coefficient of friction for Ti-6Al-4V alloy than commercially pure titanium. After exposure, X-ray photoelectron spectroscopy and surface-enhanced Raman spectroscopy results showed an oxide film formed by TiO2, both in commercially pure titanium and in Ti-6Al-4V, and by TiO and Al2O3 associated with the presence of the alloys. Furthermore, inductively coupled plasma atomic emission spectroscopy revealed that aluminum was the main ion released for Ti-6Al-4V, giving negligible values for the other metal ions.</t>
  </si>
  <si>
    <t>Aguilar, Claudio/B-6774-2011; Montero, M. Cecilia/LOU-0529-2024; Paez, Maritza/M-2010-2014; Silva, Daniela/HZH-7191-2023; Sancy, Mamie/L-6270-2014; Martinez Ugalde, Carola/P-5399-2018</t>
  </si>
  <si>
    <t>Montero, M. Cecilia/0000-0002-9089-8373; Sancy, Mamie/0000-0001-9523-2629; Li, Xuejie/0009-0003-8568-210X; Arcos, Camila/0000-0001-6285-1319; Guzman Mendez, Danny/0000-0002-8020-9247; Aguilar, Claudio/0000-0002-9013-5835; Martinez Ugalde, Carola/0000-0001-5247-6703; paez, maritza/0000-0001-5881-884X</t>
  </si>
  <si>
    <t>10.3390/ma15010131</t>
  </si>
  <si>
    <t>WOS:000743690800001</t>
  </si>
  <si>
    <t>High-speed resistance training in elderly women: Effects of cluster training sets on functional performance and quality of life (vol 110, pg 216, 2018)</t>
  </si>
  <si>
    <t>ALVAREZ, CRISTIAN/S-8150-2019; Ramirez-Campillo, Rodrigo/M-1258-2016; García-Hermoso, Antonio/ADU-2591-2022; Izquierdo, Mikel/A-4894-2010; Gentil, Paulo/L-7968-2016; Ramirez-Velez, Robinson/D-5311-2016; Garcia-Hermoso, Antonio/P-1857-2017</t>
  </si>
  <si>
    <t>Ramirez-Campillo, Rodrigo/0000-0003-2035-3279; Izquierdo, Mikel/0000-0002-1506-4272; Gentil, Paulo/0000-0003-2459-4977; Ramirez-Velez, Robinson/0000-0003-3075-6960; Garcia-Hermoso, Antonio/0000-0002-1397-7182; Alvarez, Cristian/0000-0003-4783-9981</t>
  </si>
  <si>
    <t>10.1016/j.exger.2019.02.009</t>
  </si>
  <si>
    <t>WOS:000462035600015</t>
  </si>
  <si>
    <t>Pearce, N; Asher, I; Billo, N; Bissell, K; Ellwood, P; El Sony, A; García-Marcos, L; Chiang, CY; Mallol, J; Marks, G; Strachan, D</t>
  </si>
  <si>
    <t>Pearce, Neil; Asher, Innes; Billo, Nils; Bissell, Karen; Ellwood, Philippa; El Sony, Asma; Garcia-Marcos, Luis; Chiang, Chen-Yuan; Mallol, Javier; Marks, Guy; Strachan, David</t>
  </si>
  <si>
    <t>Asthma in the global NCD agenda: a neglected epidemic</t>
  </si>
  <si>
    <t>LANCET RESPIRATORY MEDICINE</t>
  </si>
  <si>
    <t>Asher, Innes/O-2604-2016; El-Sony, Asma/G-9112-2019; Bissell, Karen/ABB-2734-2020; Ellwood, Philippa/G-7555-2015; Marks, Guy/F-5058-2013</t>
  </si>
  <si>
    <t>Mallol, Javier/0000-0003-2528-8672; Marks, Guy/0000-0002-8976-8053; Pearce, Neil/0000-0002-9938-7852; Billo, Nils Eric/0000-0002-5735-5107; Garcia-Marcos, Luis/0000-0002-0925-3851</t>
  </si>
  <si>
    <t>2213-2600</t>
  </si>
  <si>
    <t>10.1016/S2213-2600(13)70023-7</t>
  </si>
  <si>
    <t>WOS:000333768400005</t>
  </si>
  <si>
    <t>Cristi-Montero, C; Martínez-Flores, R; Espinoza-Puelles, JP; Favero-Ramirez, L; Zurita-Corvalan, N; Cañete, IC; Leppe, J; Ferrari, G; Sadarangani, KP; Cancino-López, J; Hernandez-Jaña, S; Farias, TY; Lemes, VB; Rodríguez-Rodríguez, F; Brand, C</t>
  </si>
  <si>
    <t>Cristi-Montero, Carlos; Martinez-Flores, Ricardo; Espinoza-Puelles, Juan Pablo; Favero-Ramirez, Laura; Zurita-Corvalan, Natalia; Canete, Ignacio Castillo; Leppe, Jaime; Ferrari, Gerson; Sadarangani, Kabir P.; Cancino-Lopez, Jorge; Hernandez-Jana, Sam; Farias, Tuillang Yuing; Lemes, Vanilson Batista; Rodriguez-Rodriguez, Fernando; Brand, Caroline</t>
  </si>
  <si>
    <t>Study protocol and rationale of the UP project: evaluating the effectiveness of active breaks on health indicators in desk-based workers</t>
  </si>
  <si>
    <t>Background: Excessive sedentary time has been negatively associated with several health outcomes, and physical activity alone does not seem to fully counteract these consequences. This panorama emphasizes the essential of sedentary time interruption programs. The Up Project seeks to assess the effectiveness of two interventions, one incorporating active breaks led by a professional and the other utilizing a computer application (self-led), of both equivalent duration and intensity. These interventions will be compared with a control group to evaluate their impact on physical activity levels, sedentary time, stress perception, occupational pain, and cardiometabolic risk factors among office workers. Methods: This quasi-experimental study includes 60 desk-based workers from universities and educational institutes in Valparaiso, Chile, assigned to three groups: (a) booster breaks led by professionals, (b) computer prompts that are unled, and (c) a control group. The intervention protocol for both experimental groups will last 12 weeks (only weekdays). The following measurements will be performed at baseline and post-intervention: cardiometabolic risk based on body composition (fat mass, fat-free mass, and bone mass evaluated by DXA), waist circumference, blood pressure, resting heart rate, and handgrip strength. Physical activity and sedentary time will be self-reported and device-based assessed using accelerometry. Questionnaires will be used to determine the perception of stress and occupational pain. Discussion: Governments worldwide are addressing health issues associated with sedentary behavior, particularly concerning individuals highly exposed to it, such as desk-based workers. Despite implementing certain strategies, there remains a noticeable gap in comprehensive research comparing diverse protocols. For instance, studies that contrast the outcomes of interventions led by professionals with those prompted by computers are scarce. This ongoing project is expected to contribute to evidence-based interventions targeting reduced perceived stress levels and enhancing desk-based employees' mental and physical well-being. The implications of these findings could have the capacity to lay the groundwork for future public health initiatives and government-funded programs.</t>
  </si>
  <si>
    <t>Zurita, Natalia/KBP-7211-2024; Ferrari, Gerson/HHM-6173-2022; Cristi-Montero, Carlos/AAE-4945-2020; Leppe, Jaime/G-4837-2016; Brand, Caroline/ABH-5856-2020; Cancino-López, Jorge/AAX-3079-2021; Batista Lemes, Vanilson/A-4505-2019; RODRIGUEZ, FERNANDO/F-2842-2016</t>
  </si>
  <si>
    <t>Batista Lemes, Vanilson/0000-0003-3298-4449; RODRIGUEZ, FERNANDO/0000-0002-4999-4857</t>
  </si>
  <si>
    <t>MAR 19</t>
  </si>
  <si>
    <t>10.3389/fpubh.2024.1363015</t>
  </si>
  <si>
    <t>WOS:001194956800001</t>
  </si>
  <si>
    <t>Carrasco, R; Fernández-Campusano, C; Soto, I; Lagos, C; Krommenacker, N; Banguera, L; Durán, C</t>
  </si>
  <si>
    <t>Botto-Tobar, M; Vizuete, MZ; Torres-Carrion, P; Leon, SM; Vasquez, GP; Durakovic, B</t>
  </si>
  <si>
    <t>Carrasco, Raul; Fernandez-Campusano, Christian; Soto, Ismael; Lagos, Carolina; Krommenacker, Nicolas; Banguera, Leonardo; Duran, Claudia</t>
  </si>
  <si>
    <t>Copper Price Variation Forecasts Using Genetic Algorithms</t>
  </si>
  <si>
    <t>APPLIED TECHNOLOGIES (ICAT 2019), PT II</t>
  </si>
  <si>
    <t>Communications in Computer and Information Science</t>
  </si>
  <si>
    <t>1st International Conference on Applied Technologies (ICAT)</t>
  </si>
  <si>
    <t>DEC 03-09, 2019</t>
  </si>
  <si>
    <t>Univ Fuerzas Armadas, Quito, ECUADOR</t>
  </si>
  <si>
    <t>Univ Tecnica Particular Loja,Univ Tecnica del Norte,GDEON,Univ Tecnica Estatal Quevedo,Univ Tecnica Particular Loja, Inclusive Human Comp Interact Res Grp,GIISIC,Carrera Ingn Telecomunicaciones,IEEE UG,Asociac Software Libre Ecuador,Univ Amer</t>
  </si>
  <si>
    <t>Univ Fuerzas Armadas</t>
  </si>
  <si>
    <t>The use of genetic algorithms and techniques of big data support the decision-making of manner effective in problems, such as the variation in copper prices. Today, the price of copper and its variations represent a significant financial issue for mining companies and the Chilean government because of its high impact on the national economy. This paper reviews the forecast of volatility for the copper market over a period, which is of interest to different participants such as producers, consumers, governments and investors. To do this, we propose to apply genetic algorithms to predict the variation in copper prices, in order to improve the degree of certainty by incorporating of the inverse of the percentage of sign prediction PSP.</t>
  </si>
  <si>
    <t>Duran, Claudia/S-1175-2019; Krommenacker, Nicolas/IAR-4851-2023; Fernández-Campusano, Christian/M-8749-2018; Carrasco, Raul/G-5440-2015</t>
  </si>
  <si>
    <t>Fernandez-Campusano, Christian/0000-0001-7033-4178; Duran, Claudia/0000-0002-0903-4333; Carrasco, Raul/0000-0002-5023-9349</t>
  </si>
  <si>
    <t>1865-0929</t>
  </si>
  <si>
    <t>1865-0937</t>
  </si>
  <si>
    <t>978-3-030-42520-3; 978-3-030-42519-7</t>
  </si>
  <si>
    <t>10.1007/978-3-030-42520-3_23</t>
  </si>
  <si>
    <t>WOS:000832292000023</t>
  </si>
  <si>
    <t>Damiani, A; Funke, B; Puertas, ML; Gardini, A; von Clarmann, T; Santee, ML; Froidevaux, L; Cordero, RR</t>
  </si>
  <si>
    <t>Damiani, Alessandro; Funke, Bernd; Puertas, Manuel Lopez; Gardini, Angela; von Clarmann, Thomas; Santee, Michelle L.; Froidevaux, Lucien; Cordero, Raul R.</t>
  </si>
  <si>
    <t>Changes in the composition of the northern polar upper stratosphere in February 2009 after a sudden stratospheric warming</t>
  </si>
  <si>
    <t>JOURNAL OF GEOPHYSICAL RESEARCH-ATMOSPHERES</t>
  </si>
  <si>
    <t>Variability in the chemistry of the upper stratosphere/lowermesosphere region has been analyzed focusing on high latitudes during the boreal winter in 2009 characterized by the strong sudden stratospheric warming (SSW) on 24 January. Data from Michelson Interferometer for Passive Atmospheric Sounding aboard Envisat and the Microwave Limb Sounder on Aura have been used to exemplify these changes. Record high (low) values of O-3 and ClO (temperature and HCl) for the winters of 2005-2012, coupled with a simultaneous enhancement of ClONO2, have been observed in February 2009. This suggests that the very low temperatures favor a more effective ozone production and a greater O-3/O ratio. The latter is the main factor controlling active chlorine partitioning. Increases of ClO lead to high ClONO2 concentrations in the upper stratosphere at high latitudes, where its photodissociation rate is smaller. Since this increase of ClONO2 happens at the expense of HCl, the region of high ClONO2 roughly coincides with the region of low HCl. Although this period was characterized by an elevated stratopause event, the investigated region was not influenced by the descent of mesospheric air rich in NOx. Some limited enhancements in NOx at similar to 1 hPa occurred at latitudes greater than 80 degrees N after about 20 February, but they became consistent only in March. Intrusion of midlatitude air mostly occurred between the SSW and early February. Then, the sum of volume mixing ratios of ClONO2 + ClO + HCl remained approximately constant and close to the values of the other years. In contrast, it was up to 0.2 ppbv lower during the SSW period. These atypical chemical conditions occurred also in February 2006, but 2009 stands out for its long-lasting effects, which persisted until late March.</t>
  </si>
  <si>
    <t>Santee, MIchelle/R-5762-2019; Damiani, Alessandro/X-4677-2019; Cordero, Raul/M-7979-2017; Funke, Bernd/C-2162-2008; gardini, angela/L-9681-2014; Lopez-Puertas, Manuel/M-8219-2013</t>
  </si>
  <si>
    <t>Damiani, Alessandro/0000-0003-3014-6193; Cordero, Raul R./0000-0001-7607-7993; Funke, Bernd/0000-0003-0462-4702; gardini, angela/0000-0002-3234-9130; Lopez-Puertas, Manuel/0000-0003-2941-7734</t>
  </si>
  <si>
    <t>2169-897X</t>
  </si>
  <si>
    <t>2169-8996</t>
  </si>
  <si>
    <t>OCT 16</t>
  </si>
  <si>
    <t>10.1002/2014JD021698</t>
  </si>
  <si>
    <t>WOS:000344053400028</t>
  </si>
  <si>
    <t>Jalili, A; Alzubi, JA; Rezaei, R; Webber, JL; Fernández-Campusano, C; Gheisari, M; Amin, R; Mehbodniya, A</t>
  </si>
  <si>
    <t>Jalili, Ahmad; Alzubi, Jafar A.; Rezaei, Roghayeh; Webber, Julian L.; Fernandez-Campusano, Christian; Gheisari, Mehdi; Amin, Rashid; Mehbodniya, Abolfazl</t>
  </si>
  <si>
    <t>Markov chain-based analysis and fault tolerance technique for enhancing chain-based routing in WSNs</t>
  </si>
  <si>
    <t>CONCURRENCY AND COMPUTATION-PRACTICE &amp; EXPERIENCE</t>
  </si>
  <si>
    <t>Wireless sensor networks (WSNs) are faced with the challenge of energy conservation, which makes efficient routing protocols crucial for prolonging network lifetime. In addition, delay time from sensors to the base station is critical in applications such as military, medical, and security monitoring systems. Chain-based protocols like PEGASIS, CCBRP, and CCM have been developed to address routing in WSNs, with the aim of reducing energy consumption and delay. However, node failures are inevitable due to energy reduction and node mobility. Therefore, fault tolerance techniques must be integrated into routing protocols. A new fault tolerance method has been proposed to prevent early chain failures in WSNs by formulating network availability and reliability using Markov chain analysis. The results indicate that chain-based routing protocols with one spare node are more reliable than those with two spare nodes.</t>
  </si>
  <si>
    <t>Gheisari, Mehdi/Y-4681-2018; Jalili, Ahmad/ABG-9141-2021; Fernández-Campusano, Christian/M-8749-2018; amin, Rashid/H-2389-2017; Alzubi, Jafar/G-7623-2017</t>
  </si>
  <si>
    <t>Alzubi, Jafar/0000-0001-6724-1421; Fernandez-Campusano, Christian/0000-0001-7033-4178</t>
  </si>
  <si>
    <t>1532-0626</t>
  </si>
  <si>
    <t>1532-0634</t>
  </si>
  <si>
    <t>MAY 30</t>
  </si>
  <si>
    <t>10.1002/cpe.8032</t>
  </si>
  <si>
    <t>WOS:001174859000001</t>
  </si>
  <si>
    <t>Thandapani, P; Aepuru, R; Béron, F; Viswanathan, MR; Varaprasad, K; Zabotto, FL; Jiménez, JA; Denardin, JC</t>
  </si>
  <si>
    <t>Thandapani, Prabhakaran; Aepuru, Radhamanohar; Beron, Fanny; Viswanathan, Mangalaraja Ramalinga; Varaprasad, Kokkarachedu; Zabotto, Fabio Luis; Jimenez, Jose A.; Denardin, Juliano C.</t>
  </si>
  <si>
    <t>Multiferroic Electroactive Polymer Blend/Ferrite Nanocomposite Flexible Films for Cooling Devices</t>
  </si>
  <si>
    <t>ACS APPLIED POLYMER MATERIALS</t>
  </si>
  <si>
    <t>In recent days, the interest toward the development ofmulticaloricmaterials for cooling application is increasing, whereas multiferroicmaterials would be the suitable alternative to the conventional refrigerants.To explore them, the poly(methyl methacrylate)/poly(vinylidenefluoride-co-hexafluoropropylene) (PMMA/PVDF-HFP) blend and PMMA/PVDF-HFP/Zn0.5Cu0.5Fe2O4 flexible multiferroicnanocomposite films were fabricated by the solution casting method.The structural analyses prove that the strong interfacial interactionbetween the PMMA/PVDF-HFP blend and the Zn0.5Cu0.5Fe2O4 (ZCF) through hydroxyl (-OH) andcarbonyl group bonding with PVDF-HFP enhanced the thermal stabilityand suppressed the electroactive &amp; beta; phase from 67 to 62%. Experimentalresults show that 10 wt % of superparamagnetic ZCF nanoparticles witha particle size of 6.8 nm induced both the magnetocaloric and magnetoelectriceffects in a nonmagnetic PMMA/PVDF-HFP ferroelectric matrix at roomtemperature. A set of isothermal magnetization curves were recordedin the magnetic field strength of 0-40 kOe and a temperaturerange of 2-400 K. The maximum magnetic entropy changes (&amp; UDelta;S (M)) of -0.69 J &amp; BULL;kg(-1) K-1 of ZCF nanoparticles and -0.094 J &amp; BULL;kg(-1) K-1 of PMMA/PVDF-HFP/ZCF nanocompositesshowed an interesting table-like flat variation in the temperaturerange of 100-400 K as a function of the magnetic field. Thesamples display a large temperature span with a relative cooling power of 293 and 40 J &amp; BULL;kg(-1) for ZCF and PMMA/PVDF-HFP/ZCF,respectively. The magnetoelectric effect of the PMMA/PVDF-HFP/ZCFcomposite was proved, but it generated only 1.42 mV/m &amp; BULL;Oe in theapplied field of 5 kOe. Hence, the entropy change of the present nanocompositewas only due to the magnetocaloric effect, where the magnetoelectriccross-coupling coefficient was negligible. The multicaloric effectcould be established if the nanocomposite showed a larger magnetoelectriccross-coupling in addition to the magnetocaloric effect. This approachprovides the research findings in functional multiferroic polymernanocomposites for miniaturized cooling devices.</t>
  </si>
  <si>
    <t>Zabotto, Fabio/G-3366-2016; AEPURU, RADHAMANOHAR/AAT-4645-2020; Jiménez, José/H-2644-2015; Denardin, Juliano/S-6407-2019; Viswanathan, Mangalaraja/AAM-6090-2020; Varaprasad, Kokkarachedu/F-9505-2012; THANDAPANI, PRABHAKARAN/L-3282-2018; Ramalinga Viswanathan, Mangalaraja/JOZ-3129-2023; Beron, Fanny/H-5923-2012</t>
  </si>
  <si>
    <t>Ramalinga Viswanathan, Mangalaraja/0000-0003-1016-9830; Beron, Fanny/0000-0002-4926-2963; Denardin, Juliano/0000-0002-1373-6207; Varaprasad, Kokkarachedu/0000-0002-1694-3447</t>
  </si>
  <si>
    <t>2637-6105</t>
  </si>
  <si>
    <t>JUL 17</t>
  </si>
  <si>
    <t>10.1021/acsapm.3c00589</t>
  </si>
  <si>
    <t>WOS:001030514100001</t>
  </si>
  <si>
    <t>Khan, AL; Dierssen, HM; Scambos, TA; Höfer, J; Cordero, RR</t>
  </si>
  <si>
    <t>Khan, Alia L.; Dierssen, Heidi M.; Scambos, Ted A.; Hofer, Juan; Cordero, Raul R.</t>
  </si>
  <si>
    <t>Spectral characterization, radiative forcing and pigment content of coastal Antarctic snow algae: approaches to spectrally discriminate red and green communities and their impact on snowmelt</t>
  </si>
  <si>
    <t>CRYOSPHERE</t>
  </si>
  <si>
    <t>Here, we present radiative forcing (RF) estimates by snow algae in the Antarctic Peninsula (AP) region from multi-year measurements of solar radiation and ground-based hyperspectral characterization of red and green snow algae collected during a brief field expedition in austral summer 2018. Our analysis includes pigment content from samples at three bloom sites. Algal biomass in the snow and albedo reduction are well-correlated across the visible spectrum. Relative to clean snow, visibly green patches reduce snow albedo by similar to 40 % and red patches by similar to 20 %. However, red communities absorb considerably more light per milligram of pigment compared to green communities, particularly in green wavelengths. Based on our study results, it should be possible to differentiate red and green algae using Sentinel-2 bands in blue, green and red wavelengths. Instantaneous RF averages were double for green (180 W m(-2)) vs. red communities (88 W m(-2)), with a maximum of 228 W m(-2). Based on multi-year solar radiation measurements at Palmer Station, this translated to a mean daily RF of similar to 26 W m(-2) (green) and similar to 13 W m(-2) (red) during peak growing season - on par with midlatitude dust attributions capable of advancing snowmelt. This results in similar to 2522 m(3) of snow melted by green-colored algae and similar to 1218 m(3) of snow melted by red-colored algae annually over the summer, suggesting snow algae play a significant role in snowmelt in the AP regions where they occur. We suggest impacts of RF by snow algae on snowmelt be accounted for in future estimates of Antarctic ice-free expansion in the AP region.</t>
  </si>
  <si>
    <t>Höfer, Juan/MSX-7977-2025; Cordero, Raul/M-7979-2017; Scambos, Ted/B-1856-2009</t>
  </si>
  <si>
    <t>SCAMBOS, Ted A./0000-0003-4268-6322; Cordero, Raul R./0000-0001-7607-7993; Khan, Alia/0000-0002-4425-1528; Hofer, Juan/0000-0002-5887-4929</t>
  </si>
  <si>
    <t>1994-0416</t>
  </si>
  <si>
    <t>1994-0424</t>
  </si>
  <si>
    <t>10.5194/tc-15-133-2021</t>
  </si>
  <si>
    <t>WOS:000610932700001</t>
  </si>
  <si>
    <t>Cornejo, A; Caballero, J; Simirgiotis, M; Torres, V; Sánchez, L; Díaz, N; Guimaraes, M; Hernández, M; Areche, C; Alfaro, S; Caballero, L; Melo, F</t>
  </si>
  <si>
    <t>Cornejo, Alberto; Caballero, Julio; Simirgiotis, Mario; Torres, Vanessa; Sanchez, Luisa; Diaz, Nicolas; Guimaraes, Marcela; Hernandez, Marcos; Areche, Carlos; Alfaro, Sergio; Caballero, Leonardo; Melo, Francisco</t>
  </si>
  <si>
    <t>Dammarane triterpenes targeting α-synuclein: biological activity and evaluation of binding sites by molecular docking</t>
  </si>
  <si>
    <t>JOURNAL OF ENZYME INHIBITION AND MEDICINAL CHEMISTRY</t>
  </si>
  <si>
    <t>Parkinson's disease (PD) is a neurodegenerative disorder that affects adult people whose treatment is palliative. Thus, we decided to test three dammarane triterpenes 1, 1a, 1b, and we determined that 1 and 1a inhibit beta-aggregation through thioflavine T rather than 1b. Since compound 1 was most active, we determined the interaction between alpha-synuclein and 1 at 50 mu M (Kd) through microscale thermophoresis. Also, we observed differences in height and diameter of aggregates, and alpha-synuclein remains unfolded in the presence of 1. Also, aggregates treated with 1 do not provoke neurites' retraction in N2a cells previously induced by retinoic acid. Finally, we studied the potential sites of interaction between 1 with alpha-synuclein fibrils using molecular modelling. Docking experiments suggest that 1 preferably interact with the site 2 of alpha-synuclein through hydrogen bonds with residues Y39 and T44.</t>
  </si>
  <si>
    <t>Caballero, Julio/G-3654-2014; Melo, Francisco/M-3923-2014; Cornejo, Alberto/AAE-7978-2022; Simirgiotis Aguero, Mario Juan/P-3871-2017; Areche, Carlos/I-2461-2013</t>
  </si>
  <si>
    <t>Cornejo, Alberto/0000-0003-0837-4130; Hernandez Pena, Marcos/0000-0002-5158-0450; Simirgiotis Aguero, Mario Juan/0000-0003-4552-3123; Areche, Carlos/0000-0001-5246-1368; Melo, Francisco Esteban/0000-0001-6818-5476</t>
  </si>
  <si>
    <t>1475-6366</t>
  </si>
  <si>
    <t>1475-6374</t>
  </si>
  <si>
    <t>JAN 1</t>
  </si>
  <si>
    <t>10.1080/14756366.2020.1851216</t>
  </si>
  <si>
    <t>WOS:000598247400001</t>
  </si>
  <si>
    <t>Shourangiz-Haghighi, A; Diaz, M; Zhang, YC; Li, JL; Yuan, Y; Faraji, R; Ding, L; Guerrero, JM</t>
  </si>
  <si>
    <t>Shourangiz-Haghighi, Alireza; Diaz, Matias; Zhang, Yichen; Li, Jiale; Yuan, Yuan; Faraji, Rasoul; Ding, Lei; Guerrero, Josep M.</t>
  </si>
  <si>
    <t>Developing More Efficient Wind Turbines A Survey of Control Challenges and Opportunities</t>
  </si>
  <si>
    <t>IEEE INDUSTRIAL ELECTRONICS MAGAZINE</t>
  </si>
  <si>
    <t>Zhang, Yichen/AAA-9965-2020; Diaz, Matias/R-7570-2018; Faraji, Rasoul/P-1581-2018; Guerrero, Josep/D-5519-2014</t>
  </si>
  <si>
    <t>Zhang, Yichen/0000-0002-6925-0775; Diaz, Matias/0000-0003-4489-9532; Faraji, Rasoul/0000-0002-6096-0383; Guerrero, Josep/0000-0001-5236-4592</t>
  </si>
  <si>
    <t>1932-4529</t>
  </si>
  <si>
    <t>1941-0115</t>
  </si>
  <si>
    <t>10.1109/MIE.2020.2990353</t>
  </si>
  <si>
    <t>WOS:000600836500004</t>
  </si>
  <si>
    <t>Aguilar-Farias, N; Miranda-Marquez, S; Toledo-Vargas, M; Sadarangani, KP; Ibarra-Mora, J; Martino-Fuentealba, P; Rodriguez-Rodriguez, F; Cristi-Montero, C; Henríquez, M; Cortinez-O'Ryan, A</t>
  </si>
  <si>
    <t>Aguilar-Farias, Nicolas; Miranda-Marquez, Sebastian; Toledo-Vargas, Marcelo; Sadarangani, Kabir P.; Ibarra-Mora, Jessica; Martino-Fuentealba, Pia; Rodriguez-Rodriguez, Fernando; Cristi-Montero, Carlos; Henriquez, Matias; Cortinez-O'Ryan, Andrea</t>
  </si>
  <si>
    <t>Results From the First Para Report Card on Physical Activity for Children and Adolescents With Disabilities in Chile</t>
  </si>
  <si>
    <t>JOURNAL OF PHYSICAL ACTIVITY &amp; HEALTH</t>
  </si>
  <si>
    <t>Background: Global initiatives have been put in place to attain a thorough understanding of worldwide variations in physical activity (PA) among children and adolescents. Yet, there is limited knowledge about PA-related indicators, specifically children and adolescents with disabilities (CAWD). To bridge this data gap, the Global Matrix of Para Report Cards (PRCs) CAWD initiative was established to address the scarcity of information on PA for this population globally. The purpose of manuscript is to summarize the results of Chile's First PRC on PA for CAWD. Methods: Chile's PRC included 10 core indicators common to the Global Matrix of PRCs. Evidence from scientific articles, reports, and databases available or released from 2018 to January 2022 was included for each indicator. A scientific committee collected and analyzed the data, assigning letter grades (A-F) based on benchmarks. Results: The grades assigned were as follows: Overall PA, D-; Organized Sports Physical Activity Participation, C-; Active Play, INCOMPLETE; Active Transportation, D-; Sedentary Behavior, F; Physical Fitness, INCOMPLETE; Family and Peers, D+; School, C+; Community and Environment, D+; Government, B-. Conclusions: Chile scored low in most indicators. Although some efforts have been made in the last decade in terms of policies, these have been reflected in PA and related behaviors in CAWD. The results underscore that maintaining the current situation is inadequate for addressing the widespread problem of physical inactivity among CAWD in Chile, emphasizing the urgency for substantial changes and a comprehensive approach to effectively combat this crisis.</t>
  </si>
  <si>
    <t>Aguilar-Farias, Nicolas/V-2742-2018; Toledo-Vargas, Marcelo/MXT-9212-2025; C, Andrea/ISB-2574-2023; Miranda-Marquez, Sebastian/ABD-7429-2021; Henríquez, Matías/IWD-6385-2023; Cristi-Montero, Carlos/AAE-4945-2020</t>
  </si>
  <si>
    <t>Cortinez-O'Ryan, Andrea/0000-0001-6207-3377; Toledo-Vargas, Marcelo/0000-0001-9688-0951; Cristi-Montero, Carlos/0000-0002-9940-507X; IBARRA MORA, JESSICA/0000-0001-5693-0686; Martino, Pia/0000-0003-2463-6540; Henriquez, Matias/0000-0003-4392-1099</t>
  </si>
  <si>
    <t>1543-3080</t>
  </si>
  <si>
    <t>1543-5474</t>
  </si>
  <si>
    <t>10.1123/jpah.2024-0073</t>
  </si>
  <si>
    <t>WOS:001457410400012</t>
  </si>
  <si>
    <t>Muñoz-Vásquez, C; Hernandez-Martinez, J; Ramos-Espinoza, F; Herrera-Valenzuela, T; Branco, BHM; Guzman-Muñoz, E; Landim, SF; Mondaca-Urrutia, J; Valdés-Badilla, P</t>
  </si>
  <si>
    <t>Munoz-Vasquez, Cristopher; Hernandez-Martinez, Jordan; Ramos-Espinoza, Francisco; Herrera-Valenzuela, Tomas; Magnani Branco, Braulio Henrique; Guzman-Munoz, Eduardo; Floriano Landim, Sibila; Mondaca-Urrutia, Jessica; Valdes-Badilla, Pablo</t>
  </si>
  <si>
    <t>Effects of Olympic Combat Sports on Cardiorespiratory Fitness in Non-Athlete Population: A Systematic Review of Randomized Controlled Trials</t>
  </si>
  <si>
    <t>This systematic review aimed to assess the available body of published peer-reviewed articles related to the effects of Olympic combat sports (OCS) on cardiorespiratory fitness (CRF) in the non-athlete population. The methodological quality and certainty of evidence were evaluated using PRISMA, TESTEX, RoB, and GRADE scales. The protocol was registered in PROSPERO (code: CRD42023391433). From 4133 records, six randomized controlled trials were included, involving 855 non-athletes (mean age = 27.2 years old). The TESTEX scale reported all studies with a &gt;= 60% (moderate-high quality) score. The GRADE scale indicated moderate to low certainty of evidence. It was only possible to perform a meta-analysis on direct methods to maximum oxygen consumption (VO2max). The main results indicated significant differences in favor of OCS compared to active/passive controls in VO2max (SMD = 4.61; 95%CI = 1.46 to 7.76; I2 = 99%; p = 0.004), while the individual results of the studies reported significant improvements in favor of the OCS on the indirect methods of the CRF. OCS improved CRF in a healthy non-athlete population of different ages, specifically showing a significant improvement in VO2max with direct tests, such as cardiopulmonary tests. However, moderate to low certainty of evidence is reported, so no definitive recommendations can be established.</t>
  </si>
  <si>
    <t>Herrera-Valenzuela, Tomas/L-1819-2019; Branco, Braulio/AAA-1747-2019; Hernandez-Martinez, Jordan/AAK-5115-2020; Magnani Branco, Braulio Henrique/B-8178-2017</t>
  </si>
  <si>
    <t>Herrera-Valenzuela, Tomas/0000-0002-5219-5896; Guzman-Munoz, Eduardo/0000-0001-7001-9004; Magnani Branco, Braulio Henrique/0000-0002-4625-9128; Landim, Sibila/0000-0002-9292-0853; Munoz Vasquez, Cristopher/0009-0001-6751-1994; Valdes-Badilla, Pablo/0000-0002-3948-8280</t>
  </si>
  <si>
    <t>10.3390/jcm12237223</t>
  </si>
  <si>
    <t>WOS:001116938300001</t>
  </si>
  <si>
    <t>Palacios, J; Nwokocha, CR; Yumrutas, O; Rios, M; Escobar, J; Parlar, A; Vinet, R; Jaimes, L; Martinez, JL</t>
  </si>
  <si>
    <t>Palacios, Javier; Nwokocha, Chukwuemeka R.; Yumrutas, Onder; Rios, Miguel; Escobar, Jorge; Parlar, Ali; Vinet, Raul; Jaimes, Luisauris; Martinez, Jose L.</t>
  </si>
  <si>
    <t>Alterations of the Oestrous Cycle and Increase in the Blood Pressure in Normotensive Female Rats by Continuous Exposure to Light</t>
  </si>
  <si>
    <t>PAKISTAN VETERINARY JOURNAL</t>
  </si>
  <si>
    <t>The study aims to investigate changes on some cardiac parameters of normotensive female rats due to continual exposure to light. Three months old female Wistar rats were subjected to varying light cycles and intensities, following which cardiovascular parameters were recorded continuously at days 0, 10, 15, 20, 25 and 30. We calculated and recorded the mean arterial pressure, pulse pressure, peripheral resistance and cardiac output. It was observed that continuous exposure to light for 10 days significantly increased the mean arterial pressure (MAP; 103 +/- 1 mmHg control vs. 117 +/- 6 mmHg at 20 min; P&lt;0.05) and the systolic blood pressure (SBP; 111 +/- 1 mmHg control vs. 130 +/- 5 mmHg at 20 min; P&lt;0.05). Heart rate (HR) did not significantly change during the exposure to light. However, the pulse pressure (PP) increased at day 20 on exposure to light (18 +/- 1 mmHg control vs. 32 +/- 4 mmHg at 20 min; P&lt;0.05). It also reduced the peripheral resistance, while increasing the cardiac output in the female rats. It also elevated oestrogen plasma levels and LF/HF ratio, which is a spectral component of ECG denoting heart rate variability (HRV). Continuous exposure to light may induce stress in female rats, leading to hormonal blood pressure, and sympathovagal imbalances.</t>
  </si>
  <si>
    <t>parlar, ali/U-6786-2019</t>
  </si>
  <si>
    <t>0253-8318</t>
  </si>
  <si>
    <t>2074-7764</t>
  </si>
  <si>
    <t>10.29261/pakvetj/2023.040</t>
  </si>
  <si>
    <t>WOS:001023505300022</t>
  </si>
  <si>
    <t>Massa, NE; Denardin, JC; Socolovsky, LA; Knobel, M; de la Cruz, FP; Zhang, XX</t>
  </si>
  <si>
    <t>Massa, Nestor E.; Denardin, Juliano C.; Socolovsky, Leandro A.; Knobel, Marcelo; Pablo de la Cruz, Fernando; Zhang, Xixiang</t>
  </si>
  <si>
    <t>Infrared reflectivity of Cox(SiO2)1-x(x ∼ 0.85, 0.55, 0.38) granular films on SiO2 glass substrates</t>
  </si>
  <si>
    <t>SOLID STATE COMMUNICATIONS</t>
  </si>
  <si>
    <t>We report the infrared specular reflectivity of Co-x(SiO2)(1-x) (x similar to 0.85, 0.55, 0.38) films on SiO2 glass spanning from a metal-like to insulating behavior. While films for x similar to 0.85 show carrier metallic shielding and hopping conductivity, for x similar to 0.65 and lower concentrations, the nanoparticles' number and size promote a localization edge near the highest longitudinal optical frequency. Such an edge is associated with a reflectivity minimum and a higher frequency band connoting strong electron-phonon interactions, carrier phonon assisted hopping, and polaron formation. Optical conductivity fits with current polaron models provide grounds toward a microscopic understanding of transport properties in these as-prepared granular films. (C) 2007 Elsevier Ltd. All rights reserved.</t>
  </si>
  <si>
    <t>Socolovsky, Leandro/B-5318-2012; Zhang, xixiang/D-7046-2011; Denardin, Juliano/S-6407-2019; Knobel, Marcelo/A-2843-2009</t>
  </si>
  <si>
    <t>Knobel, Marcelo/0000-0002-6540-9267; Denardin, Juliano/0000-0002-1373-6207; Socolovsky, Leandro/0000-0001-9256-7183</t>
  </si>
  <si>
    <t>0038-1098</t>
  </si>
  <si>
    <t>1879-2766</t>
  </si>
  <si>
    <t>10.1016/j.ssc.2006.12.019</t>
  </si>
  <si>
    <t>WOS:000244737500005</t>
  </si>
  <si>
    <t>Marcelain, K; Selman-Bravo, C; García-Bloj, B; Bustamante, E; Fernández, J; Gaete, F; Moyano, L; Bustos, JC; Plaza-Parroquia, F; Godoy, JA; Garrido, M; Labbé, TP; Ríos, JA</t>
  </si>
  <si>
    <t>Marcelain, Katherine; Selman-Bravo, Carolina; Garcia-Bloj, Benjamin; Bustamante, Eva; Fernandez, Jorge; Gaete, Fancy; Moyano, Leonor; Bustos, Juan Carlos; Plaza-Parroquia, Francisca; Godoy, Juan A.; Garrido, Marcelo; Labbe, Tomas P.; Rios, Juvenal A.</t>
  </si>
  <si>
    <t>Local advances and challenges in the molecular diagnosis of solid tumors: a health perspective towards precision oncology in Chile</t>
  </si>
  <si>
    <t>Cancer will remain one of the most significant challenges for public health, locally and globally. Currently, cancer is the leading cause of death in our country. Thanks to the enormous knowledge accumulated in recent decades on the cellular and molecular bases of cancer, precision oncology has been developed, an approach that allows for increasingly precise pharmacological treatment based on diagnostic tests. Advanced technologies such as next-generation sequencing are used for this purpose. It is essential to implement these technologies in current and future health systems to optimize the arsenal of strategies for cancer control. This review discusses some of the achievements of precision oncology, particularly applied to solid tumors. It addresses the state-of-the-art minimum biomarkers required for the diagnosis of this important group of neoplasms, the local situation regarding technological capabilities installed in the national territory, either for research or diagnosis, and the potential health impact of applying all this practical knowledge to serve people with cancer, both in the public and private sectors.</t>
  </si>
  <si>
    <t>Godoy, Juan/F-5398-2018; Marcelain, Katherine/I-2791-2013; Bustamante, Eva/AAI-9717-2021; Fernandez, Jorge/MSX-6465-2025</t>
  </si>
  <si>
    <t>Labbe, Tomas/0000-0002-1566-5940</t>
  </si>
  <si>
    <t>10.4067/s0034-98872023001001344</t>
  </si>
  <si>
    <t>WOS:001223730900009</t>
  </si>
  <si>
    <t>Altbir, D; Fonseca, JM; Chubykalo-Fesenko, O; Corona, RM; Moreno, R; Carvalho-Santos, VL; Ivanov, YP</t>
  </si>
  <si>
    <t>Altbir, Dora; Fonseca, Jakson M.; Chubykalo-Fesenko, Oksana; Corona, Rosa M.; Moreno, Roberto; Carvalho-Santos, Vagson L.; Ivanov, Yurii P.</t>
  </si>
  <si>
    <t>Tuning domain wall dynamics by shaping nanowires cross-sections</t>
  </si>
  <si>
    <t>The understanding of the domain wall (DW) dynamics along magnetic nanowires is crucial for spintronic applications. In this work, we perform a detailed analysis of the transverse DW motion along nanowires with polygonal cross-sections. If the DW displaces under a magnetic field above the Walker limit, the oscillatory motion of the DW is observed. The amplitude, the frequency of oscillations, and the DW velocity depend on the number of sides of the nanowire cross-section, being the DW velocity in a wire with a triangular cross-section one order of magnitude larger than that in a circular nanowire. The decrease in the nanowire cross-section area yields a DW behavior similar to the one presented in a cylindrical nanowire, which is explained using an analytical model based on the general kinetic momentum theorem. Micromagnetic simulations reveal that the oscillatory behavior of the DW comes from energy changes due to deformations of the DW shape during the rotation around the nanowire.</t>
  </si>
  <si>
    <t>Altbir, Dora/R-6781-2018; Moreno, Rodrigo/L-3750-2017; Ivanov, Iurii/G-1241-2014; Carvalho-Santos, Vagson/E-8806-2013; Chubykalo-Fesenko, Oksana/V-5015-2017; Fonseca, Jakson/N-7354-2013</t>
  </si>
  <si>
    <t>Carvalho-Santos, Vagson/0000-0002-2759-2152; Chubykalo-Fesenko, Oksana/0000-0002-4081-1831; Fonseca, Jakson/0000-0001-9441-026X; Moreno, Roberto/0000-0002-9799-4210; Corona, Rosa/0000-0001-6054-5019</t>
  </si>
  <si>
    <t>DEC 14</t>
  </si>
  <si>
    <t>10.1038/s41598-020-78761-w</t>
  </si>
  <si>
    <t>WOS:000600105700010</t>
  </si>
  <si>
    <t>Valdés-Badilla, P; Godoy-Cumillaf, A; Ortega-Spuler, J; Herrera-Valenzuela, T; Durán-Aguero, S; Zapata-Bastias, J; Vargas-Vitoria, R; Guzmán-Muñoz, E; López-Fuenzalida, A</t>
  </si>
  <si>
    <t>Valdes-Badilla, Pablo; Godoy-Cumillaf, Andres; Ortega-Spuler, Jenny; Herrera-Valenzuela, Tomas; Duran-Aguero, Samuel; Zapata-Bastias, Jose; Vargas-Vitoria, Rodrigo; Guzman-Munoz, Eduardo; Lopez-Fuenzalida, Antonio</t>
  </si>
  <si>
    <t>Association between health anthropometric indexes with physical fitness in physically active elderly women</t>
  </si>
  <si>
    <t>SALUD PUBLICA DE MEXICO</t>
  </si>
  <si>
    <t>Objective. To associate health anthropometric indexes with physical fitness of elderly women (EW) who participate in physical exercise workshops. Materials and methods. 272 Chilean women over 60 years took part in the study. The variables studied were BMI, waist circumference (WC), waist-height index (WHI) and physical fitness (PF). Correlations were made through the Pearson or Spearman coefficient, and bivariate associations using Pearson's Chi-square and the Fisher's exact test, considering p&lt;0.05. Results. 70.8% of the EW were overweight or obese; 68.8% and 96% were at cardiometabolic risk due to their WC and WHI, respectively. Their PF showed equal performance (53.5%) or higher (33.8%) according to their age and gender. Inverse correlations were found between nutritional status and cardiometabolic risk with PF tests (except for agility and dynamic balance [direct]), and direct association with back scratch test. Conclusions. Excess weight in physically active EW would not affect their physical-functional performance; however, cardiometabolic risk would be inversely associated with motor function.</t>
  </si>
  <si>
    <t>Herrera-Valenzuela, Tomas/L-1819-2019; Vargas, Rodrigo/ACM-8728-2022; Agüero, Samuel/AAZ-6140-2020</t>
  </si>
  <si>
    <t>Valdes-Badilla, Pablo/0000-0002-3948-8280; Guzman-Munoz, Eduardo/0000-0001-7001-9004</t>
  </si>
  <si>
    <t>0036-3634</t>
  </si>
  <si>
    <t>1606-7916</t>
  </si>
  <si>
    <t>NOV-DEC</t>
  </si>
  <si>
    <t>10.21149/8580</t>
  </si>
  <si>
    <t>WOS:000415960600017</t>
  </si>
  <si>
    <t>Morales-Lange, B; Ramírez-Cepeda, F; Schmitt, P; Guzmán, F; Lagos, L; Overland, M; Wong-Benito, V; Imarai, M; Fuentes, D; Boltaña, S; Alcaíno, J; Soto, C; Mercado, L</t>
  </si>
  <si>
    <t>Morales-Lange, Byron; Ramirez-Cepeda, Felipe; Schmitt, Paulina; Guzman, Fanny; Lagos, Leidy; Overland, Margareth; Wong-Benito, Valentina; Imarai, Monica; Fuentes, Derie; Boltana, Sebastian; Alcaino, Javier; Soto, Carlos; Mercado, Luis</t>
  </si>
  <si>
    <t>Interferon Gamma Induces the Increase of Cell-Surface Markers (CD80/86, CD83 and MHC-II) in Splenocytes From Atlantic Salmon</t>
  </si>
  <si>
    <t>Type II interferon gamma (IFN gamma) is a pleiotropic cytokine capable of modulating the innate and adaptive immune responses which has been widely characterized in several teleost families. In fish, IFN gamma stimulates the expression of cytokines and chemokines associated with the pro-inflammatory response and enhances the production of nitrogen and oxygen reactive species in phagocytic cells. This work studied the effect of IFN gamma on the expression of cell-surface markers on splenocytes of Atlantic salmon (Salmo salar). In vitro results showed that subpopulations of mononuclear splenocytes cultured for 15 days were capable of increasing gene expression and protein availability of cell-surface markers such as CD80/86, CD83 and MHC II, after being stimulated with recombinant IFN gamma. These results were observed for subpopulations with characteristics associated with monocytes (51%), and features that could be related to lymphocytes (46.3%). In addition, a decrease in the expression of zbtb46 was detected in IFN gamma-stimulated splenocytes. Finally, the expression of IFN gamma and cell-surface markers was assessed in Atlantic salmon under field conditions. In vivo results showed that the expression of ifn gamma increased simultaneously with the up-regulation of cd80/86, cd83 and mhcii during a natural outbreak of Piscirickettsia salmonis. Overall, the results obtained in this study allow us to propose IFN gamma as a candidate molecule to stimulate the phenotypic progression of a small population of immune cells, which will increase antigen presenting cells markers. Thereby, modulatory strategies using IFN gamma may generate a robust and coordinated immune response in fish against pathogens that affect aquaculture.</t>
  </si>
  <si>
    <t>Boltana, Sebastian/AAC-8944-2019; Morales Lange, Byron/JMC-7999-2023; Fuentes, Derie/GLS-8773-2022</t>
  </si>
  <si>
    <t>Ramirez Cepeda, Felipe Carlos/0000-0002-5357-3086; Boltana, Sebastian/0000-0002-5195-0490; Fuentes, Derie/0000-0002-8189-8515; Morales Lange, Byron/0000-0002-2807-5800</t>
  </si>
  <si>
    <t>MAY 13</t>
  </si>
  <si>
    <t>10.3389/fimmu.2021.666356</t>
  </si>
  <si>
    <t>WOS:000654968000001</t>
  </si>
  <si>
    <t>Thandapani, P; Viswanathan, MR; Vinícius-Araújo, M; Bakuzis, AF; Béron, F; Thirumurugan, A; Denardin, JC; Jiménez, JA; Akbari-Fakhrabadi, A</t>
  </si>
  <si>
    <t>Thandapani, Prabhakaran; Ramalinga Viswanathan, Mangalaraja; Vinicius-Araujo, Marcus; Bakuzis, Andris F.; Beron, Fanny; Thirumurugan, Arun; Denardin, Juliano C.; Jimenez, Jose A.; Akbari-Fakhrabadi, Ali</t>
  </si>
  <si>
    <t>Single-phase and binary phase nanogranular ferrites for magnetic hyperthermia application</t>
  </si>
  <si>
    <t>JOURNAL OF THE AMERICAN CERAMIC SOCIETY</t>
  </si>
  <si>
    <t>The study demonstrates the performance of heating efficiency in single-phase and binary phase spinel ferrite nanosystems. Ferrimagnetic cobalt ferrite (CoFe2O4) (CFO) and superparamagnetic copper ferrite/copper oxide (CuFe2O4/CuO) (CuF) nanosystems of different particle sizes were synthesized through a microwave-assisted coprecipitation method. The heating behavior was observed in range of both field amplitudes (8-24 kA/m at 516 kHz) and frequencies (325-973 kHz at 12 kA/m). The heating efficiency was analyzed and compared by means of particle size, magnetization, effective anisotropy constant, and Neel relaxation mechanism. Indeed, the heating rate was maximized in larger ferrite particles with low effective anisotropy constant. Moreover, though the magnetization and effective anisotropy constant of single-phase CoFe2O4 nanoparticles were higher, the binary phase CuFe2O4/CuO nanosystems of similar crystallite size (28 nm) exhibited superior heating efficiency (4.21 degrees C/s). For a field amplitude and frequency of 24 kA/m and 516 kHz, the heating rate of CuF and CFO ferrites with different crystallite sizes decreased in the order of 4.21 &gt; 2.14 &gt; 0.58 &gt; 0.52 degrees C/s for 29 nm &gt; 25 nm &gt; 12 nm &gt; 15 nm, respectively. The results emphasize that binary phase ferrite nanoparticles are better thermoseeds than the single-phase ferrites for the magnetic hyperthermia application.</t>
  </si>
  <si>
    <t>Viswanathan, Mangalaraja/AAM-6090-2020; Bakuzis, Andris/L-6543-2016; Denardin, Juliano/S-6407-2019; THANDAPANI, PRABHAKARAN/L-3282-2018; Akbari-Fakhrabadi, Ali/G-6987-2016; Thirumurugan, Arun/O-6324-2017; Beron, Fanny/H-5923-2012; Jimenez, Jose A./H-2644-2015; Ramalinga Viswanathan, Mangalaraja/JOZ-3129-2023</t>
  </si>
  <si>
    <t>Denardin, Juliano/0000-0002-1373-6207; Thirumurugan, Arun/0000-0001-7261-988X; Beron, Fanny/0000-0002-4926-2963; Jimenez, Jose A./0000-0003-4272-6873; Ramalinga Viswanathan, Mangalaraja/0000-0003-1016-9830; VINICIUS ARAUJO, MARCUS/0000-0002-4519-8407; Bakuzis, Andris/0000-0003-3366-106X</t>
  </si>
  <si>
    <t>0002-7820</t>
  </si>
  <si>
    <t>1551-2916</t>
  </si>
  <si>
    <t>10.1111/jace.17175</t>
  </si>
  <si>
    <t>WOS:000533614200001</t>
  </si>
  <si>
    <t>Birniwa, AH; Abdullahi, SS; Ali, M; Mohammad, REA; Jagaba, AH; Amran, M; Avudaiappan, S; Maureira-Carsalade, N; Flores, EIS</t>
  </si>
  <si>
    <t>Birniwa, Abdullahi Haruna; Abdullahi, Shehu Sa'ad; Ali, Mujahid; Mohammad, Rania Edrees Adam; Jagaba, Ahmad Hussaini; Amran, Mugahed; Avudaiappan, Siva; Maureira-Carsalade, Nelson; Flores, Erick I. Saavedra</t>
  </si>
  <si>
    <t>Recent Trends in Treatment and Fabrication of Plant-Based Fiber-Reinforced Epoxy Composite: A Review</t>
  </si>
  <si>
    <t>Natural fiber (NF) is one of the many resources that nature has provided. NFs decompose quickly and are biodegradable, renewable, and cost-effective. It may be scavenged from a variety of plant and animal sources. They are employed as reinforcing materials in polymers for NF composite development. Because of its environmental friendliness and long-term survivability, NF is growing in appeal among academics and researchers for usage in polymer composites. This study aims to offer a thorough evaluation of the most suitable and widely utilized natural fiber-reinforced polymer composites (NFPCs), along with their manufacture, processing, and applications. It also defines several external treatments of NF and their influence on the characteristics of NFPCs. The characteristics of NFPCs are affected by fiber supply, fiber type, and fiber structure. Numerous physical and chemical treatments were tested to see how they affected the thermal and strength properties of natural fiber-reinforced thermoplastic and thermosetting composites. Several polymer composite fabrication techniques were also studied. NFPCs have several disadvantages, notably low fire protection, poor strength properties, and greater moisture absorption, which have prevented their application. It is shown how NFPCs are employed in a variety of industries, particularly automotive and research industries. The review discovered that intentionally changing the regular fiber enhanced the thermochemical and physico-mechanical properties of the NFPCs by means of improving the grip between the fiber surface and the polymer framework. This study aims to provide important and fundamental facts on NF and their composites, which will aid in new investigations, the creation of a creative framework for polymer composite types, and the achievement of Sustainable Development Goals.</t>
  </si>
  <si>
    <t>Flores, Erick/I-7646-2012; Mohammad, Rania/HTN-8592-2023; amran, mugahed/AAW-4821-2020; Maureira, Nelson/ABB-7500-2021; Avudaiappan, Siva/AAV-7579-2021; Haruna Birniwa, Abdullahi/AAC-3507-2021; Sa'ad Abdullahi, Shehu/ABB-8156-2022; Ali, Mujahid/AEP-6014-2022; JAGABA, AHMAD HUSSAINI/AAU-5916-2021</t>
  </si>
  <si>
    <t>Haruna Birniwa, Abdullahi/0000-0003-3785-6091; Maureira-Carsalade, Nelson/0000-0003-2016-1154; AVUDAIAPPAN, SIVA/0000-0002-4289-4298; Sa'ad Abdullahi, Shehu/0000-0001-5756-0752; Mohammad, Rania Edrees Adam/0000-0003-3389-172X; Ali, Mujahid/0000-0003-4376-0459; JAGABA, AHMAD HUSSAINI/0000-0002-8624-8394</t>
  </si>
  <si>
    <t>10.3390/jcs7030120</t>
  </si>
  <si>
    <t>WOS:000957790800001</t>
  </si>
  <si>
    <t>Valdes-Jimenez, A; Jimenez-Gonzalez, D; Kiper, AK; Rinne, S; Decher, N; Gonzalez, W; Reyes-Parada, M; Nunez-Vivanco, G</t>
  </si>
  <si>
    <t>Valdes-Jimenez, Alejandro; Jimenez-Gonzalez, Daniel; Kiper, Aytug K.; Rinne, Susanne; Decher, Niels; Gonzalez, Wendy; Reyes-Parada, Miguel; Nunez-Vivanco, Gabriel</t>
  </si>
  <si>
    <t>A New Strategy for Multitarget Drug Discovery/Repositioning Through the Identification of Similar 3D Amino Acid Patterns Among Proteins Structures: The Case of Tafluprost and its Effects on Cardiac Ion Channels</t>
  </si>
  <si>
    <t>The identification of similar three-dimensional (3D) amino acid patterns among different proteins might be helpful to explain the polypharmacological profile of many currently used drugs. Also, it would be a reasonable first step for the design of novel multitarget compounds. Most of the current computational tools employed for this aim are limited to the comparisons among known binding sites, and do not consider several additional important 3D patterns such as allosteric sites or other conserved motifs. In the present work, we introduce Geomfinder2.0, which is a new and improved version of our previously described algorithm for the deep exploration and discovery of similar and druggable 3D patterns. As compared with the original version, substantial improvements that have been incorporated to our software allow: (i) to compare quaternary structures, (ii) to deal with a list of pairs of structures, (iii) to know how druggable is the zone where similar 3D patterns are detected and (iv) to significantly reduce the execution time. Thus, the new algorithm achieves up to 353x speedup as compared to the previous sequential version, allowing the exploration of a significant number of quaternary structures in a reasonable time. In order to illustrate the potential of the updated Geomfinder version, we show a case of use in which similar 3D patterns were detected in the cardiac ions channels NaV1.5 and TASK-1. These channels are quite different in terms of structure, sequence and function and both have been regarded as important targets for drugs aimed at treating atrial fibrillation. Finally, we describe the in vitro effects of tafluprost (a drug currently used to treat glaucoma, which was identified as a novel putative ligand of NaV1.5 and TASK-1) upon both ion channels' activity and discuss its possible repositioning as a novel antiarrhythmic drug.</t>
  </si>
  <si>
    <t>Kiper, Aytug/N-2340-2018; Decher, Niels/AAF-5002-2020; Nuñez, Gabriel/IAN-2843-2023; Rinné, Susanne/E-2726-2019</t>
  </si>
  <si>
    <t>Nunez Vivanco, Gabriel/0000-0002-2858-1789; Decher, Niels/0000-0002-9433-687X; Valdes-Jimenez, Alejandro/0000-0003-2345-5510</t>
  </si>
  <si>
    <t>MAR 18</t>
  </si>
  <si>
    <t>10.3389/fphar.2022.855792</t>
  </si>
  <si>
    <t>WOS:000791748000001</t>
  </si>
  <si>
    <t>Cabrera-Barjas, G; Quezada, A; Bernardo, Y; Moncada, M; Zúñiga, E; Wilkens, M; Giordano, A; Nesic, A; Delgado, N</t>
  </si>
  <si>
    <t>Cabrera-Barjas, Gustavo; Quezada, Adriana; Bernardo, Yamile; Moncada, Mauricio; Zuniga, Elisa; Wilkens, Marcela; Giordano, Ady; Nesic, Aleksandra; Delgado, Nacarid</t>
  </si>
  <si>
    <t>Chemical composition and antibacterial activity of red murta (Ugni molinae Turcz.) seeds: an undervalued Chilean resource</t>
  </si>
  <si>
    <t>JOURNAL OF FOOD MEASUREMENT AND CHARACTERIZATION</t>
  </si>
  <si>
    <t>Murta (Ugni molinae Turcz) is an endemic Chilean specie mostly used in medical, cosmetic, and food industries. However, during the industrial processing of murta fruits, the biomass containing the seeds is discarded as an industrial byproduct that does not find significant uses yet. This work is a first approach to valorize murta biomass through the identification and quantification of principal chemical constituents and exploring their antibacterial properties. The proximal analysis revealed that murta seeds exhibited significant content of raw fiber (64%), crude fat (14%), crude protein (12%), and low levels of ashes (1.5%) and minerals (0.04-0.23%). Dietary fiber was mainly composed of lignin, cellulose, pectin, and hemicellulose. Polyunsaturated fatty acids (89.0%), monounsaturated fatty acids (7.7%), and saturated fatty acids (3.3%) were the main constituents of seed oils. The arginine, asparagine, glutamic acid, and glycine were the primary protein constituent amino acids. Tannin fractions, total polyphenolic content, and oxygen radical absorbance capacity as antioxidant activity were measured. The chromatographic and mass spectrometric analysis (HPLC-MS/MS) confirmed the presence of several phenolic compounds like phenolic acids, flavonols, flavones, proanthocyanidins, and high molecular weight polyphenols. The murta seed extract showed high antibacterial activity against both Gram positive (Staphylococcus aureus, Bacillus cereus, and Streptococcus pyogenes) and Gram negative (Escherichia coli, Salmonella typhi, and Pseudomonas aeruginosa) bacterial strains. Murta seeds could be considered as a new source of nutritional components and bioactive compounds for different nutraceutical and food applications.</t>
  </si>
  <si>
    <t>moncada, mauricio/HHN-6394-2022; Delgado, Nacarid/ABA-6709-2020; Cabrera, Gustavo/A-6578-2009</t>
  </si>
  <si>
    <t>Zuniga, Elisa/0000-0002-9232-6651; Nesic, Aleksandra/0000-0001-7971-7589; Cabrera, Gustavo/0000-0002-1850-0244; Giordano, Ady/0000-0002-1867-6848</t>
  </si>
  <si>
    <t>2193-4126</t>
  </si>
  <si>
    <t>2193-4134</t>
  </si>
  <si>
    <t>10.1007/s11694-020-00428-x</t>
  </si>
  <si>
    <t>WOS:000516954800006</t>
  </si>
  <si>
    <t>Alaniz, AJ; Pérez-Quezada, JF; Galleguillos, M; Vásquez, AE; Keith, DA</t>
  </si>
  <si>
    <t>Alaniz, Alberto J.; Perez-Quezada, Jorge F.; Galleguillos, Mauricio; Vasquez, Alexis E.; Keith, David A.</t>
  </si>
  <si>
    <t>Operationalizing the IUCN Red List of Ecosystems in public policy</t>
  </si>
  <si>
    <t>CONSERVATION LETTERS</t>
  </si>
  <si>
    <t>Threats to ecosystems are closely linked to human development, whereas lack, insufficiency, and inefficiency of public policies are important drivers of environmental decline. Previous studies have discussed the contribution of IUCN's Red List of Ecosystems (RLE) in conservation issues; however, its applications in different policy fields and instruments for achieving biodiversity conservation have not been explored in detail. Here, we introduce a framework to operationalize the RLE in public policy, facilitating work of governments, practitioners, and decision makers. Our analysis identified 20 policy instruments that could reduce risks to ecosystems highlighted by different Red List criteria. We discuss how RLE could inform the policy process by analyzing different instruments that could be designed, implemented, and modified to achieve risk reduction. We also present practical examples from around the world showing how ecosystem conservation could be improved by operationalizing the RLE in policy instruments. The RLE criteria can inform the policy process by helping to shape objectives and identifying policy instruments that directly address the causes and severity of risks illuminated in Red List assessments. We conclude that RLE could be expanded into a broader holistic spectrum of policy instruments, which could be a key to achieving the ecosystem conservation.</t>
  </si>
  <si>
    <t>Alaniz, Alberto/J-3104-2019; Vasquez, Alexis/I-3529-2013; Galleguillos, Mauricio/I-1571-2013; Perez-Quezada, Jorge/H-7129-2013</t>
  </si>
  <si>
    <t>Alaniz, Alberto J./0000-0003-4878-8848; Vasquez, Alexis/0000-0002-3869-3071; Galleguillos, Mauricio/0000-0003-4617-0980; Perez-Quezada, Jorge/0000-0002-0449-7654; Keith, David/0000-0002-7627-4150</t>
  </si>
  <si>
    <t>1755-263X</t>
  </si>
  <si>
    <t>e12665</t>
  </si>
  <si>
    <t>10.1111/conl.12665</t>
  </si>
  <si>
    <t>JUL 2019</t>
  </si>
  <si>
    <t>WOS:000478406300001</t>
  </si>
  <si>
    <t>García, AM; Bocanegra, Y; Herrera, E; Pino, M; Muñoz, E; Sedeño, L; Ibáñez, A</t>
  </si>
  <si>
    <t>Garcia, Adolfo M.; Bocanegra, Yamile; Herrera, Eduar; Pino, Mariana; Munoz, Edinson; Sedeno, Lucas; Ibanez, Agustin</t>
  </si>
  <si>
    <t>Action-semantic and syntactic deficits in subjects at risk for Huntington's disease</t>
  </si>
  <si>
    <t>JOURNAL OF NEUROPSYCHOLOGY</t>
  </si>
  <si>
    <t>Frontostriatal networks play critical roles in grounding action semantics and syntactic skills. Indeed, their atrophy distinctively disrupts both domains, as observed in patients with Huntington's disease (HD) and Parkinson's disease, even during early disease stages. However, frontostriatal degeneration in these conditions may begin up to 15 years before the onset of clinical symptoms, opening avenues for pre-clinical detection via sensitive tasks. Such a mission is particularly critical in HD, given that patients' children have 50% chances of inheriting the disease. Against this background, we assessed whether deficits in the above-mentioned domains emerge in subjects at risk to develop HD. We administered tasks tapping action semantics, object semantics, and two forms of syntactic processing to 18 patients with HD, 19 asymptomatic first-degree relatives, and sociodemographically matched controls for each group. The patients evinced significant deficits in all tasks, but only those in the two target domains were independent of overall cognitive state. More crucially, relative to controls, the asymptomatic relatives were selectively impaired in action semantics and in the more complex syntactic task, with both patterns emerging irrespective of the subjects' overall cognitive state. Our findings highlight the relevance of these dysfunctions as potential prodromal biomarkers of HD. Moreover, they offer theoretical insights into the differential contributions of frontostriatal hubs to both domains while paving the way for innovations in diagnostic procedures.</t>
  </si>
  <si>
    <t>Herrera, Eduar/IXD-5515-2023; Garcia, Adolfo/E-7150-2017; Ibanez, Agustin/H-7976-2015</t>
  </si>
  <si>
    <t>Herrera, Eduar/0000-0001-9409-245X; Garcia, Adolfo/0000-0002-6936-0114; Ibanez, Agustin/0000-0001-6758-5101; Munoz, Edinson/0000-0001-9949-1230</t>
  </si>
  <si>
    <t>1748-6645</t>
  </si>
  <si>
    <t>1748-6653</t>
  </si>
  <si>
    <t>10.1111/jnp.12120</t>
  </si>
  <si>
    <t>WOS:000443568800002</t>
  </si>
  <si>
    <t>Pitcheri, R; Mooni, SP; Radhalayam, D; Nora, M; Roy, S; Al-Zahrani, FAM; Kummara, MR</t>
  </si>
  <si>
    <t>Pitcheri, Rosaiah; Mooni, Siva Prasad; Radhalayam, Dhanalakshmi; Nora, Maaouni; Roy, Soumyendu; Al-Zahrani, Fatimah Ali M.; Kummara, Madhusudana Rao</t>
  </si>
  <si>
    <t>Green synthesis of TiO2 nanoparticles using Echinops echinatus plant extract and its potential applications for photocatalytic dye degradation, 4-nitrophenol reduction, and antimicrobial activity</t>
  </si>
  <si>
    <t>BIOMASS CONVERSION AND BIOREFINERY</t>
  </si>
  <si>
    <t>Industrial wastewater poses a significant threat to human health and the environment. Numerous treatment methods have been developed to mitigate harmful compounds. The production of multifunctional titanium oxide nanoparticles (TiO2-NPs) for wastewater treatment through green synthesis is a desirable alternative to conventional methods. This study reports using Echinops echinatus leaves (EES) as an effective bio-reductant for the green synthesis of TiO2-NPs. A simple and eco-friendly process with low reaction time and temperature was adopted for the EES-mediated synthesis of TiO2-NPs. Various spectroscopic and microscopic techniques were used to characterize the synthesized nanoparticles. The UV-visible spectrophotometer spectra showed an absorbance peak at 289 nm and a bandgap of 2.91 eV. SEM and XRD revealed the nanoparticles' crystal nature, size, and spherical morphology. HR-TEM indicated an average particle size of 36 nm with a spherical shape. Energy-dispersive X-ray (EDX) spectra confirmed the presence of titanium. Fourier transform infrared (FTIR) spectroscopy identified the fundamental biomolecules responsible for reducing and stabilizing the TiO2 nanoparticles. The synthesized nanoparticles were developed as photocatalysts for treating trypan blue dye under visible light irradiation, achieving a rapid decomposition rate with 84% degradation efficiency and catalyst reusability. The radical experiment that was studied identified h(+) and OH* radicals as the more reactive species. The catalytic potential of EES-TiO2 NPs was further examined for converting 4-nitrophenol to 4-aminophenol, with a 98% conversion rate in an alkaline medium. UV-vis spectroscopy showed a decrease rate of k = 0.011 min(-1) during the catalytic conversion. Additionally, EES-TiO2 NPs demonstrated significant antibacterial effects on pathogenic bacteria, as measured by the zone of inhibition in the disc diffusion method. The findings suggest that the synthesized EES-TiO2 nanoparticles hold promise for various environmental and antipathogenic applications.</t>
  </si>
  <si>
    <t>Roy, Soumyendu/N-4586-2014; Rosaiah/B-4028-2014; Rao, Kummara/B-4986-2012; Alzahrani, Fatimah/AAX-7912-2020; MOONI, SIVA/ABI-5261-2020</t>
  </si>
  <si>
    <t>MOONI, SIVA PRASAD/0000-0001-5454-8299; /0000-0002-5350-9981; A.M. Al-Zahrani, Fatimah/0000-0002-7413-9115</t>
  </si>
  <si>
    <t>2190-6815</t>
  </si>
  <si>
    <t>2190-6823</t>
  </si>
  <si>
    <t>2024 SEP 16</t>
  </si>
  <si>
    <t>s13399-024-06131-x</t>
  </si>
  <si>
    <t>10.1007/s13399-024-06131-x</t>
  </si>
  <si>
    <t>WOS:001314219700002</t>
  </si>
  <si>
    <t>Rojas, A; Sajadian, SA; Razmimanesh, F; Aguila, G; Esfandiari, N; Jouyban, A</t>
  </si>
  <si>
    <t>Rojas, Adrian; Sajadian, Seyed Ali; Razmimanesh, Fariba; Aguila, Gonzalo; Esfandiari, Nadia; Jouyban, Abolghasem</t>
  </si>
  <si>
    <t>Solubility of oxazepam in supercritical carbon dioxide: Experimental and modeling</t>
  </si>
  <si>
    <t>This study thoroughly investigates the solubility of oxazepam in supercritical carbon dioxide (SC-CO2) at temperatures of 308, 318, 328, and 338 K and pressures ranging from 12 to 30 MPa. The solubility measurements revealed a mole fraction of oxazepam ranging from 2.50 x 10-6 to 7.13 x 10-5, with the highest solubility observed at 338 K and 30 MPa. The solubility data were effectively modeled using semi-empirical density-based models (Mendez-Santiago and Teja (MST), Chrastil, Bartle et al., Kumar and Johnston (K-J), and Alwi-Garlapati), two equations of state (Peng-Robinson and modified-Pazuki) and regular solution models. The K-J model emerged as the best fit for the experimental data, boasting the lowest Average Absolute Relative Deviation (AARD) value of 7.73 %. The Peng-Robinson equation of state outperformed the modified-Pazuki equation, with AARD values of 15.71 % and 18.15 %, respectively. The study's key finding is the low solubility of oxazepam in SC-CO2, which suggests that supercritical antisolvent techniques could be effectively employed for synthesizing nanoparticles of this pharmaceutical compound. These findings have practical implications as they provide valuable insights for optimizing drug formulation processes and demonstrate the potential of SC-CO2 in pharmaceutical applications.</t>
  </si>
  <si>
    <t>Jouyban, Abolghasem/ABB-7335-2020; Rojas, Adrián/AAR-9441-2021; Aguila, Gonzalo/M-6404-2019; Sajadian, Seyedali/HJP-8942-2023; Esfandiari, Nadia/AAX-8035-2021</t>
  </si>
  <si>
    <t>Esfandiari, Nadia/0000-0003-3071-7291; Aguila, Gonzalo/0000-0003-3441-4175</t>
  </si>
  <si>
    <t>10.1016/j.fluid.2024.114165</t>
  </si>
  <si>
    <t>WOS:001259763800001</t>
  </si>
  <si>
    <t>Herrera-Valenzuela, T; Valdés-Badilla, P; Soto-Voisier, E; Verdugo-Miranda, F; Cancino-López, J; Sáez-Fuentes, M; Cofre-Bolados, C; Durán-Agüero, S; Orihuela, PA</t>
  </si>
  <si>
    <t>Herrera-Valenzuela, Tomas; Valdes-Badilla, Pablo; Soto-Voisier, Estefania; Verdugo-Miranda, Francisco; Cancino-Lopez, Jorge; Saez-Fuentes, Mauricio; Cofre-Bolados, Cristian; Duran-Aguero, Samuel; Orihuela, Pedro A.</t>
  </si>
  <si>
    <t>Rapid Weight Loss: the case of combat sports</t>
  </si>
  <si>
    <t>Cancino-López, Jorge/AAX-3079-2021; Agüero, Samuel/AAZ-6140-2020; HERRERA, TOMAS/AAH-3739-2019</t>
  </si>
  <si>
    <t>Verdugo Miranda, Francisco/0000-0002-7060-9984; DURAN AGUERO, SAMUEL/0000-0002-0548-3676; Valdes-Badilla, Pablo/0000-0002-3948-8280</t>
  </si>
  <si>
    <t>10.4067/s0034-98872018000800947</t>
  </si>
  <si>
    <t>WOS:000447908500019</t>
  </si>
  <si>
    <t>Ibáñez, A; García, AM; Esteves, S; Yoris, A; Muñoz, E; Reynaldo, L; Pietto, ML; Adolfi, F; Manes, F</t>
  </si>
  <si>
    <t>Ibanez, Agustin; Garcia, Adolfo M.; Esteves, Sol; Yoris, Adrian; Munoz, Edinson; Reynaldo, Lucila; Luis Pietto, Marcos; Adolfi, Federico; Manes, Facundo</t>
  </si>
  <si>
    <t>Social neuroscience: undoing the schism between neurology and psychiatry</t>
  </si>
  <si>
    <t>Multiple disorders once jointly conceived as nervous diseases became segregated by the distinct institutional traditions forged in neurology and psychiatry. As a result, each field specialized in the study and treatment of a subset of such conditions. Here we propose new avenues for interdisciplinary interaction through a triangulation of both fields with social neuroscience. To this end, we review evidence from five relevant domains (facial emotion recognition, empathy, theory of mind, moral cognition, and social context assessment), highlighting their common disturbances across neurological and psychiatric conditions and discussing their multiple pathophysiological mechanisms. Our proposal is anchored in multidimensional evidence, including behavioral, neurocognitive, and genetic findings. From a clinical perspective, this work paves the way for dimensional and transdiagnostic approaches, new pharmacological treatments, and educational innovations rooted in a combined neuropsychiatric training. Research-wise, it fosters new models of the social brain and a novel platform to explore the interplay of cognitive and social functions. Finally, we identify new challenges for this synergistic framework.</t>
  </si>
  <si>
    <t>Adolfi, Federico/K-4661-2019; Esteves, Susana/GON-7824-2022; Ibanez, Agustin/H-7976-2015; Garcia, Adolfo/E-7150-2017</t>
  </si>
  <si>
    <t>Adolfi, Federico/0000-0002-4202-5252; Ibanez, Agustin/0000-0001-6758-5101; Pietto, Marcos Luis/0000-0003-4130-7992; Garcia, Adolfo/0000-0002-6936-0114</t>
  </si>
  <si>
    <t>10.1080/17470919.2016.1245214</t>
  </si>
  <si>
    <t>WOS:000428736200001</t>
  </si>
  <si>
    <t>Nicholas, AP; Borgohain, R; Chana, P; Surmann, E; Thompson, EL; Bauer, L; Whitesides, J; Elmer, LW</t>
  </si>
  <si>
    <t>Nicholas, Anthony P.; Borgohain, Rupam; Chana, Pedro; Surmann, Erwin; Thompson, Emily L.; Bauer, Lars; Whitesides, John; Elmer, Lawrence W.</t>
  </si>
  <si>
    <t>SP921 Study Investigators</t>
  </si>
  <si>
    <t>A Randomized Study of Rotigotine Dose Response on 'Off' Time in Advanced Parkinson's Disease</t>
  </si>
  <si>
    <t>Background: Previous phase III studies in patients with advanced Parkinson's disease (PD) not adequately controlled on levodopa demonstrated significant reduction of 'off' time with rotigotine transdermal system up to 16 mg/24 h. However, the minimal effective dose has not been established. Objective: This international, randomized, double-blind, placebo-controlled study (SP921; NCT00522379) investigated rotigotine dose response up to 8 mg/24 h. Methods: Patients with advanced idiopathic PD (&gt;= 2.5 h of daily 'off' time on stable doses of levodopa) were randomized 1: 1: 1: 1: 1 to receive rotigotine 2, 4, 6, or 8 mg/24 h or placebo, titrated over 4 weeks and maintained for 12 weeks. The primary efficacy variable was change from baseline to end of maintenance in absolute time spent 'off'. Results: 409/514 (80%) randomized patients completed maintenance. Mean (+/- SD) baseline daily 'off' times (h/day) were placebo: 6.4 (+/- 2.5), rotigotine 2-8 mg/24 h: 6.4 (+/- 2.6). Rotigotine 8 mg/24 h was the minimal dose to significantly reduce 'off' time versus placebo. LS mean (+/- SE) absolute change in daily 'off' time (h/day) from baseline was -2.4 (+/- 0.28) with rotigotine 8 mg/24 h, and -1.5 (+/- 0.26) with placebo; absolute change in 'off' time in the 8 mg/24 h group compared with placebo was -0.85 h/day (95% CI -1.59, -0.11; p = 0.024). There was an apparent dose-dependent trend. Adverse events (AEs) reported at a higher incidence in the rotigotine 8 mg/24 h group versus placebo included application site reactions, nausea, dry mouth, and dyskinesia; there was no worsening of insomnia, somnolence, orthostatic hypotension, confusional state or hallucinations, even in patients &gt;= 75 years of age. Conclusions: The minimal statistically significant effective dose of rotigotine to reduce absolute 'off' time was 8 mg/24 h. The AE profile was similar to previous studies.</t>
  </si>
  <si>
    <t>Chana, Pedro/ABG-9944-2020</t>
  </si>
  <si>
    <t>Houghton, David/0000-0002-6216-9202</t>
  </si>
  <si>
    <t>10.3233/JPD-130320</t>
  </si>
  <si>
    <t>WOS:000341594600009</t>
  </si>
  <si>
    <t>Kumar, C; Kashyap, V; Escrig, J; Shrivastav, M; Kumar, V; Guzman, F; Saxena, K</t>
  </si>
  <si>
    <t>Kumar, Chandra; Kashyap, Vikas; Escrig, Juan; Shrivastav, Monika; Kumar, Vivek; Guzman, Fernando; Saxena, Kapil</t>
  </si>
  <si>
    <t>The dopant (n- and p-type)-, band gap-, size- and stress-dependent field electron emission of silicon nanowires</t>
  </si>
  <si>
    <t>PHYSICAL CHEMISTRY CHEMICAL PHYSICS</t>
  </si>
  <si>
    <t>This study investigates the electron field emission (EFE) of vertical silicon nanowires (Si NWs) fabricated on n-type Si (100) and p-type Si (100) substrates using catalyst-induced etching (CIE). The impact of dopant types (n- and p-types), optical energy gap, crystallite size and stress on EFE parameters has been explored in detail. The surface morphology of grown SiNWs has been characterized by field emission scanning electron microscopy (FESEM), showing vertical, well aligned SiNWs. Optical absorption and Raman spectroscopy confirmed the presence of the quantum confinement (QC) effect. The EFE performance of the grown nanowire arrays has been examined through recorded J-E measurements under the Fowler-Nordheim framework. The Si NWs grown on p-type Si showed a minimum turn-on field and also a higher field enhancement factor. The band-bending diagram also suggests a lower barrier height of p-type Si NWs compared to n-type Si NWs, which plays a key role in enhancing the EFE performance. These investigations suggest that dopant types (n- and p-types), band gap, crystallite size and stress influence the EFE parameters and Si NWs grown on p-type Si (100) substrates are much more favorable for the investigation of EFE properties. This study investigates the electron field emission (EFE) of vertical silicon nanowires (Si NWs) fabricated on n-type Si (100) and p-type Si (100) substrates using catalyst-induced etching (CIE).</t>
  </si>
  <si>
    <t>Escrig, Juan/N-4304-2015; Kumar, Vivek/U-6843-2019</t>
  </si>
  <si>
    <t>Kumar, Vivek/0000-0003-3386-0755</t>
  </si>
  <si>
    <t>1463-9076</t>
  </si>
  <si>
    <t>1463-9084</t>
  </si>
  <si>
    <t>JUN 26</t>
  </si>
  <si>
    <t>10.1039/d4cp00825a</t>
  </si>
  <si>
    <t>WOS:001244193400001</t>
  </si>
  <si>
    <t>Sadler, M; Santos, MJ; Ruiz-Berdún, D; Rojas, GL; Skoko, E; Gillen, P; Clausen, JA</t>
  </si>
  <si>
    <t>Sadler, Michelle; Santos, Mario J. D. S.; Ruiz-Berdun, Dolores; Leiva Rojas, Gonzalo; Skoko, Elena; Gillen, Patricia; Clausen, Jette A.</t>
  </si>
  <si>
    <t>Moving beyond disrespect and abuse: addressing the structural dimensions of obstetric violence</t>
  </si>
  <si>
    <t>REPRODUCTIVE HEALTH MATTERS</t>
  </si>
  <si>
    <t>During recent decades, a growing and preoccupying excess of medical interventions during childbirth, even in physiological and uncomplicated births, together with a concerning spread of abusive and disrespectful practices towards women during childbirth across the world, have been reported. Despite research and policy-making to address these problems, changing childbirth practices has proved to be difficult. We argue that the excessive rates of medical interventions and disrespect towards women during childbirth should be analysed as a consequence of structural violence, and that the concept of obstetric violence, as it is being used in Latin American childbirth activism and legal documents, might prove to be a useful tool for addressing structural violence in maternity care such as high intervention rates, non-consented care, disrespect and other abusive practices. (C) 2016 Reproductive Health Matters. Published by Elsevier BV. All rights reserved.</t>
  </si>
  <si>
    <t>Skoko, Elena/HKV-4562-2023; Santos, Mário/AAB-9081-2021; Sadler, Michelle/F-3587-2016; Ruiz-Berdun, Dolores/N-1188-2015</t>
  </si>
  <si>
    <t>Leiva Rojas, Gonzalo/0000-0002-0654-2615; Gillen, Patricia/0000-0003-4097-4355; Sadler, Michelle/0000-0002-3895-047X; JDS Santos, Mario/0000-0002-4804-1843; Ruiz-Berdun, Dolores/0000-0001-8884-6139; Skoko, Elena/0000-0003-1266-6240</t>
  </si>
  <si>
    <t>0968-8080</t>
  </si>
  <si>
    <t>1460-9576</t>
  </si>
  <si>
    <t>10.1016/j.rhm.2016.04.002</t>
  </si>
  <si>
    <t>WOS:000389012500006</t>
  </si>
  <si>
    <t>Efrati, E; Pocivavsek, L; Meza, R; Lee, KYC; Witten, TA</t>
  </si>
  <si>
    <t>Efrati, Efi; Pocivavsek, Luka; Meza, Ruben; Lee, Ka Yee C.; Witten, Thomas A.</t>
  </si>
  <si>
    <t>Confined disclinations: Exterior versus material constraints in developable thin elastic sheets</t>
  </si>
  <si>
    <t>We examine the shape change of a thin disk with an inserted wedge of material when it is pushed against a plane, using analytical, numerical, and experimental methods. Such sheets occur in packaging, surgery, and nanotechnology. We approximate the sheet as having vanishing strain, so that it takes a conical form in which straight generators converge to a disclination singularity. Then, its shape is that which minimizes elastic bending energy alone. Real sheets are expected to approach this limiting shape as their thickness approaches zero. The planar constraint forces a sector of the sheet to buckle into the third dimension. We find that the unbuckled sector is precisely semicircular, independent of the angle delta of the inserted wedge. We generalize the analysis to include conical as well as planar constraints and thereby establish a law of corresponding states for shallow cones of slope is an element of and thin wedges. In this regime, the single parameter delta/is an element of(2) determines the shape. We discuss the singular limit in which the cone becomes a plane, and the unexpected slow convergence to the semicircular buckling observed in real sheets.</t>
  </si>
  <si>
    <t>Efrati, Efi/JXM-9979-2024</t>
  </si>
  <si>
    <t>1539-3755</t>
  </si>
  <si>
    <t>1550-2376</t>
  </si>
  <si>
    <t>10.1103/PhysRevE.91.022404</t>
  </si>
  <si>
    <t>WOS:000350239900008</t>
  </si>
  <si>
    <t>Rezapour, S; Henríquez, HR; Vijayakumar, V; Nisar, KS; Shukla, A</t>
  </si>
  <si>
    <t>Rezapour, Shahram; Henriquez, Hernan R.; Vijayakumar, Velusamy; Nisar, Kottakkaran Sooppy; Shukla, Anurag</t>
  </si>
  <si>
    <t>A Note on Existence of Mild Solutions for Second-Order Neutral Integro-Differential Evolution Equations with State-Dependent Delay</t>
  </si>
  <si>
    <t>FRACTAL AND FRACTIONAL</t>
  </si>
  <si>
    <t>This article is mainly devoted to the study of the existence of solutions for second-order abstract non-autonomous integro-differential evolution equations with infinite state-dependent delay. In the first part, we are concerned with second-order abstract non-autonomous integro-differential retarded functional differential equations with infinite state-dependent delay. In the second part, we extend our results to study the second-order abstract neutral integro-differential evolution equations with state-dependent delay. Our results are established using properties of the resolvent operator corresponding to the second-order abstract non-autonomous integro-differential equation and fixed point theorems. Finally, an application is presented to illustrate the theory obtained.</t>
  </si>
  <si>
    <t>VIJAYAKUMAR, Dr. VELUSAMY/A-7860-2015; Shukla, Dr. Anurag/AAR-9723-2021; Nisar, Prof. Kottakkaran Sooppy/F-7559-2015; Rezapour, Shahram/N-4883-2016</t>
  </si>
  <si>
    <t>Nisar, Prof. Kottakkaran Sooppy/0000-0001-5769-4320; VIJAYAKUMAR, Dr. VELUSAMY/0000-0001-5976-5794; Rezapour, Shahram/0000-0003-3463-2607</t>
  </si>
  <si>
    <t>2504-3110</t>
  </si>
  <si>
    <t>10.3390/fractalfract5030126</t>
  </si>
  <si>
    <t>WOS:000699517600001</t>
  </si>
  <si>
    <t>Freire, LD; Tannure, M; Sampaio, M; Slimani, M; Znazen, H; Bragazzi, NL; Aedo-Muñoz, E; Soto, DAS; Brito, CJ; Miarka, B</t>
  </si>
  <si>
    <t>Albuquerque Freire, Lucas de; Tannure, Marcio; Sampaio, Marcio; Slimani, Maamer; Znazen, Hela; Bragazzi, Nicola Luigi; Aedo-Munoz, Esteban; Sobarzo Soto, Dany Alexis; Brito, Ciro Jose; Miarka, Bianca</t>
  </si>
  <si>
    <t>COVID-19-Related Restrictions and Quarantine COVID-19: Effects on Cardiovascular and Yo-Yo Test Performance in Professional Soccer Players</t>
  </si>
  <si>
    <t>The present study aimed to verify the quarantine's effects during a serious viral outbreak on the cardiovascular and performance associated with the Yo-Yo test in a sample of professional soccer players. 20 high-level soccer players (n = 20; age: 26 +/- 4 years-old; weight: 76.85 +/- 6.7 kg; height: 179 +/- 6 cm) participated in this study. The intermittent Yo-Yo test was performed pre- and post- COVID-19 quarantine in a random order. During each test, the soccer players' running performance outcomes were monitored using a portable 5-Hz GPS with a 100 Hz accelerometer and a paired t-test was conducted at a p-value of &lt;= 0.05. The main results demonstrated significant differences between pre- versus post-COVID-19 quarantine in the following variables: relative distance (161.7 +/- 5.9 &gt; 141.1 +/- 33.8 m/min), maximal speed (18.7 +/- 0.9 &gt; 18.2 +/- 0.6 km/h), acceleration (60 +/- 20 frequency &gt; 52 +/- 16 frequency), deceleration (34 +/- 13 frequency &gt; 27 +/- 6 frequency), sprints &gt; 19 km/h [0.8 (0.2;3)% &gt;0.5 (0;0.5)%], and in high intensity running distance [16.48 (2.68;41.64)m &gt; 0.827 (0.164;3.0)m]. We concluded that COVID-19-related restrictions and quarantine COVID-19 demonstrated adverse effects on professional soccer players' Yo-Yo tests performance.</t>
  </si>
  <si>
    <t>Brito, Ciro/AAC-9104-2019; Bragazzi, Nicola/G-1672-2011; Slimani, Maamer/JAC-3213-2023; Aedo-Muñoz, Esteban/R-5623-2019; Miarka, Bianca/V-7395-2017</t>
  </si>
  <si>
    <t>Sobarzo-Soto, Dany Alexis/0000-0001-8479-7149; brito, ciro/0000-0002-9678-1977; Aedo-Munoz, Esteban/0000-0003-1544-2824</t>
  </si>
  <si>
    <t>DEC 18</t>
  </si>
  <si>
    <t>10.3389/fpsyg.2020.589543</t>
  </si>
  <si>
    <t>WOS:000603985400001</t>
  </si>
  <si>
    <t>Hidalgo-Sacoto, R; Gonzalez, RI; Vogel, EE; Allende, S; Mella, JD; Cardenas, C; Troncoso, RE; Munoz, F</t>
  </si>
  <si>
    <t>Hidalgo-Sacoto, R.; Gonzalez, R., I; Vogel, E. E.; Allende, S.; Mella, Jose D.; Cardenas, C.; Troncoso, Roberto E.; Munoz, F.</t>
  </si>
  <si>
    <t>Magnon valley Hall effect in CrI3-based van der Waals heterostructures</t>
  </si>
  <si>
    <t>Magnonic excitations in the two-dimensional (2D) van der Waals (vdW) ferromagnet chromium triiodide (CrI3) are studied. We find that bulk magnons exhibit a nontrivial topological band structure without the need for Dzyaloshinskii-Moriya interaction. This is shown in vdW heterostructures, consisting of single-layer CrI3 on different 2D materials such as MoTe2, HfS2, and WSe2. We find numerically that the proposed substrates substantially modify the out-of-plane magnetic anisotropy on each sublattice of the CrI3 subsystem. The induced staggered anisotropy, combined with a proper band inversion, leads to the opening of a topological gap of the magnon spectrum. Since the gap is opened nonsymmetrically at the K+ and K- points of the Brillouin zone, an imbalance in the magnon population between these two valleys can be created under a driving force. This phenomenon has a close analogy to the so-called valley Hall effect and is thus termed the magnon valley Hall effect. In linear response to a temperature gradient, we quantify this effect by the evaluation of the temperature dependence of the magnon thermal Hall effect. These findings open a different avenue by adding the valley degrees of freedom besides the spin in the study of magnons.</t>
  </si>
  <si>
    <t>Munoz, Francisco/C-1140-2011; Mella Riquelme, Jose Daniel/GWU-8086-2022; Cárdenas, Carlos/IZP-8908-2023; Cardenas, Carlos/F-1946-2010; Gonzalez, Rafael I./I-8560-2015</t>
  </si>
  <si>
    <t>Cardenas, Carlos/0000-0002-0648-6502; Mella Riquelme, Jose Daniel/0000-0002-2098-0398; Gonzalez, Rafael I./0000-0003-2599-8404; Troncoso, Roberto/0000-0002-4989-3490; Vogel, Eugenio/0000-0002-1701-3030; Hidalgo Sacoto, Raul/0000-0003-0083-5625; Munoz, Francisco/0000-0002-4324-8650</t>
  </si>
  <si>
    <t>MAY 22</t>
  </si>
  <si>
    <t>10.1103/PhysRevB.101.205425</t>
  </si>
  <si>
    <t>WOS:000535162600006</t>
  </si>
  <si>
    <t>Agostinis-Sobrinho, C; Ruiz, JR; Moreira, C; Lopes, L; Ramírez-Vélez, R; García-Hermoso, A; Mota, J; Santos, R</t>
  </si>
  <si>
    <t>Agostinis-Sobrinho, Cesar; Ruiz, Jonatan R.; Moreira, Carla; Lopes, Luis; Ramirez-Velez, Robinson; Garcia-Hermoso, Antonio; Mota, Jorge; Santos, Rute</t>
  </si>
  <si>
    <t>Changes in muscular fitness and its association with blood pressure in adolescents</t>
  </si>
  <si>
    <t>EUROPEAN JOURNAL OF PEDIATRICS</t>
  </si>
  <si>
    <t>The aims of this study were to examine the longitudinal association between muscular fitness (MF) and blood pressure (BP) 2 years later, and to determine whether changes in MF over a 2-year period were associated with BP at follow-up, in adolescents. The sample comprised 734 youths (349 girls) aged from 12 to 18 years. MF was assessed with the standing long jump and handgrip tests. Socioeconomic status, pubertal stage, waist circumference, resting BP, and cardiorespiratory fitness were measured according to standard procedures. Regression analyses showed a significant inverse association between MF at baseline and systolic BP (beta = - 0.072; p = 0.032) and rate pressure product (beta = - 0.124; p &lt; 0.001) at follow-up, after adjustments for age, sex, height, pubertal stage, and socioeconomic status. However, when analyses were further adjusted for waist circumference and cardiorespiratory fitness, these associations did not remain significant. Adolescents with persistently high and increasing MF exhibited the lowest levels of diastolic BP (F-(3,F- 721) = 3.814, p = 0.018) and systolic BP (F-(3,F- 721) = 3.908, p = 0.014) when compared to those with persistent low MF after adjustment for age, sex, height, socioeconomic status, cardiorespiratory fitness, and waist circumference. Conclusion: This study suggests that persistent greater and increasing MF in youth are associated with lower levels of BP across the adolescence..</t>
  </si>
  <si>
    <t>RUIZ, JONATAN/M-1338-2015; García-Hermoso, Antonio/ADU-2591-2022; Lopes, Luis/AAX-7957-2020; Agostinis Sobrinho, Cesar Aparecido/B-4971-2018; Santos, Rute/A-6401-2012; Moreira, Carla/G-5176-2011; Garcia-Hermoso, Antonio/P-1857-2017; mota, jorge/B-2980-2013; Ramirez-Velez, Robinson/D-5311-2016; Lopes, Luis/M-3767-2013</t>
  </si>
  <si>
    <t>Agostinis Sobrinho, Cesar Aparecido/0000-0001-9104-9042; Santos, Rute/0000-0002-7604-5753; Moreira, Carla/0000-0003-1039-6320; Garcia-Hermoso, Antonio/0000-0002-1397-7182; mota, jorge/0000-0001-7571-9181; Ramirez-Velez, Robinson/0000-0003-3075-6960; Lopes, Luis/0000-0001-6680-0893</t>
  </si>
  <si>
    <t>0340-6199</t>
  </si>
  <si>
    <t>1432-1076</t>
  </si>
  <si>
    <t>10.1007/s00431-018-3164-4</t>
  </si>
  <si>
    <t>WOS:000435109000016</t>
  </si>
  <si>
    <t>Pissulla, D; Seckmeyer, G; Cordero, RR; Blumthaler, M; Schallhart, B; Webb, A; Kift, R; Smedley, A; Bais, AF; Kouremeti, N; Cede, A; Herman, J; Kowalewskig, M</t>
  </si>
  <si>
    <t>Pissulla, D.; Seckmeyer, G.; Cordero, R. R.; Blumthaler, M.; Schallhart, B.; Webb, A.; Kift, R.; Smedley, A.; Bais, A. F.; Kouremeti, N.; Cede, A.; Herman, J.; Kowalewskig, M.</t>
  </si>
  <si>
    <t>Comparison of atmospheric spectral radiance measurements from five independently calibrated systems</t>
  </si>
  <si>
    <t>PHOTOCHEMICAL &amp; PHOTOBIOLOGICAL SCIENCES</t>
  </si>
  <si>
    <t>A variety of instruments have been developed over the past 50 years to measure spectral radiance in absolute units at UV and visible wavelengths with high spectral resolution. While there is considerable experience in the measurement of spectral irradiance, less emphasis has been given to the reliable measurement of spectral radiance from ground observations. We discuss the methodology and calibration procedures for five instruments capable of making such measurements. Four of these instruments are based on double monochromators that scan each wavelength in turn, and one is based on a single monochromator with a charged coupled device (CCD) allowing the recording of all wavelengths simultaneously. The measured spectral radiance deviates between 3% and about 35% depending on the instruments. The results are compared with radiative transfer calculations when the aerosol characteristics of the atmosphere are known.</t>
  </si>
  <si>
    <t>Cordero, Raul/M-7979-2017; Kift, Richard/ABG-7859-2020; Kouremeti, Natalia/AAE-1458-2021; Bais, Alkiviadis/D-2230-2009; Smedley, Andrew/N-9865-2014</t>
  </si>
  <si>
    <t>Cordero, Raul R./0000-0001-7607-7993; Herman, Jay/0000-0002-9146-1632; Kift, Richard/0000-0003-1826-3653; Bais, Alkiviadis/0000-0003-3899-2001; Kouremeti, Natalia/0000-0001-8877-3865; Smedley, Andrew/0000-0001-7137-6628</t>
  </si>
  <si>
    <t>1474-905X</t>
  </si>
  <si>
    <t>1474-9092</t>
  </si>
  <si>
    <t>10.1039/b817018e</t>
  </si>
  <si>
    <t>WOS:000264747000012</t>
  </si>
  <si>
    <t>Fakhri, S; Iranpanah, A; Gravandi, MM; Moradi, SZ; Ranjbari, M; Majnooni, MB; Echeverría, J; Qi, YP; Wang, MF; Liao, P; Farzaei, MH; Xiao, JB</t>
  </si>
  <si>
    <t>Fakhri, Sajad; Iranpanah, Amin; Gravandi, Mohammad Mehdi; Moradi, Seyed Zachariah; Ranjbari, Mohammad; Majnooni, Mohammad Bagher; Echeverria, Javier; Qi, Yaping; Wang, Mingfu; Liao, Pan; Farzaei, Mohammad Hosein; Xiao, Jianbo</t>
  </si>
  <si>
    <t>Natural products attenuate PI3K/Akt/mTOR signaling pathway: A promising strategy in regulating neurodegeneration</t>
  </si>
  <si>
    <t>PHYTOMEDICINE</t>
  </si>
  <si>
    <t>Background: As common, progressive, and chronic causes of disability and death, neurodegenerative diseases (NDDs) significantly threaten human health, while no effective treatment is available. Given the engagement of multiple dysregulated pathways in neurodegeneration, there is an imperative need to target the axis and provide effective/multi-target agents to tackle neurodegeneration. Recent studies have revealed the role of phosphoinositide 3-kinase (PI3K)/Akt/mammalian target of rapamycin (mTOR) in some diseases and natural products with therapeutic potentials. Purpose: This is the first systematic and comprehensive review on the role of plant-derived secondary metabolites in managing and/or treating various neuronal disorders via the PI3K/Akt/mTOR signaling pathway. Study design and methods: A systematic and comprehensive review was done based on the PubMed, Scopus, Web of Science, and Cochrane electronic databases. Two independent investigators followed the PRISMA guidelines and included papers on PI3K/Akt/mTOR and interconnected pathways/mediators targeted by phytochemicals in NDDs. Results: Natural products are multi-target agents with diverse pharmacological and biological activities and rich sources for discovering and developing novel therapeutic agents. Accordingly, recent studies have shown increasing phytochemicals in combating Alzheimer's disease, aging, Parkinson's disease, brain/spinal cord damages, depression, and other neuronal-associated dysfunctions. Amongst the emerging targets in neurodegeneration, PI3K/Akt/mTOR is of great importance. Therefore, attenuation of these mediators would be a great step towards neuroprotection in such NDDs. Conclusion: The application of plant-derived secondary metabolites in managing and/or treating various neuronal disorders through the PI3K/Akt/mTOR signaling pathway is a promising strategy towards neuroprotection.</t>
  </si>
  <si>
    <t>Liao, Pan/GSM-8793-2022; Echeverría, Javier/AAK-3323-2020; Farzaei, Mohammad/M-5779-2017; ranjbari, mohammadreza/AGS-8027-2022; Xiao, Jianbo/C-7323-2012; Moradi, Seyed Zachariah/ABA-9171-2020; Qi, Yaping (Joyce)/JNR-1620-2023</t>
  </si>
  <si>
    <t>Moradi, Seyed Zachariah/0000-0003-0579-3495; Qi, Yaping (Joyce)/0000-0002-0367-3695; Liao, Pan/0000-0002-1156-8916; Echeverria, Javier/0000-0002-1688-968X; Iranpanah, Amin/0000-0001-8422-6151</t>
  </si>
  <si>
    <t>0944-7113</t>
  </si>
  <si>
    <t>1618-095X</t>
  </si>
  <si>
    <t>10.1016/j.phymed.2021.153664</t>
  </si>
  <si>
    <t>WOS:000696238900015</t>
  </si>
  <si>
    <t>Fuentealba, CM; Arrieta, C; González, C; Ortega, NA; Salinas, L; Zepeda, RC; Reyes, MDB; Escobar, RG; Uribe, S; Avila-Smirnow, D</t>
  </si>
  <si>
    <t>Fuentealba, Carmen Meza; Arrieta, Cristobal; Gonzalez, Catalina; Ortega, Nicolas Aranda; Salinas, Luis; Zepeda, Rocio Cortes; Reyes, Maria de los Angeles Beytia; Escobar, Raul G.; Uribe, Sergio; Avila-Smirnow, Daniela</t>
  </si>
  <si>
    <t>Magnetic resonance imaging of masticatory muscles in patients with duchenne muscular dystrophy</t>
  </si>
  <si>
    <t>EUROPEAN JOURNAL OF PAEDIATRIC NEUROLOGY</t>
  </si>
  <si>
    <t>Duchenne muscular dystrophy (DMD) is the most common muscular dystrophy in children. Impairment of masticatory function and swallowing disorders, potentially leading to aspiration and gastrostomy, are linked to fatty infiltration in the masticatory muscles, as previously observed in muscle ultrasound. This study aims to quantify muscle volume and fat fraction in muscle magnetic resonance imaging (MRI) in the masticatory muscles in non-ambulant DMD patients compared to healthy controls and evaluate their correlation with maximum bite force (MBF), which has not been previously described. Fifteen patients with DMD and 16 controls were included. MBF was measured with an oral dynamometer and total muscle volume (TMV) and fat signal fraction (FSF) were quantified using MRI with the Dixon technique. Four DMD patients presented with masticatory or swallowing difficulties. DMD patients had a significantly lower median MBF (141.8 N) compared with healthy controls (481.6 N, p &lt; 0.0001). Additionally, median FSF was significantly higher in DMD patients (47.07 %) compared to controls (5.31 %, p &lt; 0.0001). A strong negative correlation between TMV and MBF was observed in DMD patients (rho =-0.70, p = 0.0048). A significant negative correlation between MBF and normalized FSF was observed in healthy controls (rho =-0.5487, p = 0.300) and DMD patients (rho =-0.5893, p = 0.0224). A nonsignificant positive correlation between age and FSF in DMD was detected (rho = 0.38, p = 0.17). MBF, TMV and FSF quantified with the Dixon MRI are sensitive measures to evaluate masticatory function in DMD patients and may serve as biomarkers for clinical follow up. Studies in older patients are needed to evaluate the predictive role of MBF, TMV and FSF in the nutritional status of patients and the need for therapeutic interventions such as gastrostomy.</t>
  </si>
  <si>
    <t>URIBE Arancibia, SERGIO/GRR-3235-2022; Arrieta, Cristobal/AAS-4053-2021; Escobar, Raul/HCI-2092-2022; avila-smirnow, daniela/GWV-6345-2022</t>
  </si>
  <si>
    <t>avila-smirnow, daniela/0000-0003-3962-6302; Arrieta, Cristobal/0000-0001-8773-3722</t>
  </si>
  <si>
    <t>1090-3798</t>
  </si>
  <si>
    <t>1532-2130</t>
  </si>
  <si>
    <t>10.1016/j.ejpn.2025.03.008</t>
  </si>
  <si>
    <t>MAR 2025</t>
  </si>
  <si>
    <t>WOS:001451767400001</t>
  </si>
  <si>
    <t>Azocar-Gallardo, J; Ojeda-Aravena, A; Martin, EBS; Herrera-Valenzuela, T; Tuesta, M; Gonzalez-Rojas, L; Calvo-Rico, B; Garcia-Garcia, JM</t>
  </si>
  <si>
    <t>Azocar-Gallardo, Jairo; Ojeda-Aravena, Alex; Martin, Eduardo Baez-San; Herrera-Valenzuela, Tomas; Tuesta, Marcelo; Gonzalez-Rojas, Luis; Calvo-Rico, Bibiana; Garcia-Garcia, Jose Manuel</t>
  </si>
  <si>
    <t>Effect of a Concurrent Training Program with and Without Metformin Treatment on Metabolic Markers and Cardiorespiratory Fitness in Individuals with Insulin Resistance: A Retrospective Analysis</t>
  </si>
  <si>
    <t>BIOMOLECULES</t>
  </si>
  <si>
    <t>Background: Type 2 diabetes mellitus is a metabolic disorder characterized by insulin resistance (IR), which is prevalent worldwide and has significant adverse health effects. Metformin is commonly prescribed as a pharmacological treatment. Physical exercise is also recognized as an effective regulator of glycemia, independent of metformin. However, the effects of inter-day concurrent training (CT)-which includes both endurance and resistance exercises-combined with metformin treatment on metabolic markers and cardiorespiratory fitness in individuals with IR remain controversial. Objective: This study aimed to analyze the effects of a 12-week inter-day CT program on metabolic markers and cardiorespiratory fitness in overweight/obese individuals with IR, both with and without metformin treatment. Additionally, inter-individual responses to CT were examined. Materials and Methods: Data from the 2022-2023 Obesity Center database were retrospectively analyzed. According to the eligibility criteria, 20 overweight/obese individuals diagnosed with IR participated in a 12-week CT program (three weekly sessions: two endurance and one resistance exercise session). Participants were divided into three groups: the exercise group (E-G: n = 7, 32.86 +/- 8.32 years, 85.2 +/- 19.67 kg), the exercise-metformin group (E-MG: n = 6, 34.83 +/- 12.91 years, 88.13 +/- 12.66 kg), and the metformin-only control group (M-G: n = 7, 34.43 +/- 13.96 years, 94.23 +/- 13.93 kg). The M-G did not perform physical exercise during the 12 weeks but continued pharmacological treatment. Body composition, metabolic markers, and cardiorespiratory fitness were assessed before and after the 12-week CT program. Results: A group-by-time interaction was observed for fasting insulin (F-2,F-17 = 34.059, p &lt; 0.001, eta(2)p = 0.88), the Homeostatic Model Assessment of Insulin Resistance (HOMA-IR) (F-2,F-17 = 35.597, p &lt; 0.001, eta(2)p = 0.80), and maximal fat oxidation (MFO) (F-2,F-17 = 4.541, p = 0.026, eta(2)p = 0.348) following the CT program. The maximal oxygen uptake (VO2(max)) showed significant improvements in the E-G (F = 4.888, p = 0.041, triangle+13.3%). Additionally, the percentage of fat mass (%FM) and body mass (BM) were significantly reduced across all groups (F = 125.244, p &lt; 0.001 and F = 91.130, p &lt; 0.001, respectively). The BM decreased by triangle-9.43% in the E-G (five responders, Rs), triangle+9.21% in the EM-G (5 Rs), and triangle+5.15% in the M-G (3 Rs). The %FM was reduced in the E-G by triangle-22.52% (seven Rs). Fasting insulin and the HOMA-IR significantly improved in both the E-G and EM-G, with fasting insulin showing a triangle-82.1% reduction in the E-G (five Rs) and a triangle-85% reduction in the EM-G (six Rs). Similarly, the HOMA-IR improved by triangle+82.6% in the E-G (three Rs) and by triangle+84.6% in the EM-G (six Rs). Conclusions: The 12-week inter-day concurrent training program, whether combined with metformin or not, was similarly effective in improving metabolic markers in patients with insulin resistance as metformin treatment alone. Both exercise groups demonstrated a significant reduction in insulin sensitivity and an increase in maximal fat oxidation. Meanwhile, exclusive pharmacological treatment with metformin markedly decreased cardiorespiratory fitness, and consequently, fat oxidation.</t>
  </si>
  <si>
    <t>Ojeda Aravena, Alex/JRF-5369-2023; Báez, Eduardo/GWU-7673-2022; Tuesta, Marcelo/O-7314-2019; Herrera-Valenzuela, Tomas/L-1819-2019</t>
  </si>
  <si>
    <t>Ojeda-Aravena, Alex/0000-0002-2406-9622; , Jairo Azocar-Gallardo/0000-0002-0552-2487; Herrera-Valenzuela, Tomas/0000-0002-5219-5896; Tuesta, Marcelo/0000-0002-5711-7520</t>
  </si>
  <si>
    <t>2218-273X</t>
  </si>
  <si>
    <t>10.3390/biom14111470</t>
  </si>
  <si>
    <t>WOS:001367738300001</t>
  </si>
  <si>
    <t>Kogan, B; Agulla, L; Dottori, M; Amoruso, L; Vivas, L; García, AM</t>
  </si>
  <si>
    <t>Kogan, Boris; Agulla, Lucia; Dottori, Martin; Amoruso, Lucia; Vivas, Leticia; Garcia, Adolfo M.</t>
  </si>
  <si>
    <t>Do we mean the same? Semantic native-likeness in highly proficient second language users</t>
  </si>
  <si>
    <t>INTERNATIONAL JOURNAL OF BILINGUALISM</t>
  </si>
  <si>
    <t>Research question: Native-likeness (similarity between non-native and native users of the same language) depends on second language proficiency (L2p). However, evidence comes mainly from phonological or syntactic tasks, prompting an underexplored question: can higher L2p also entail a more native-like organization of semantic memory?Methodology: We asked high and low proficiency bilinguals to describe concepts in their second (English) and first (Spanish) language. We then compared their responses with semantic structure norms from native speakers of each language, and derived measures of semantic native-likeness through a validated semantic proximity measure.Data and analysis: We examined whether semantic native-likeness scores discriminated between high and low L2p levels at the group level (via inferential statistics) and at the individual level (via machine learning analyses).Findings: We found that semantic associations in English were more native-like in high than in low L2p bilinguals. Machine learning analyses showed that this pattern was highly consistent across individual subjects. Responses in Spanish did not differ between groups.Originality: This is the first study assessing semantic native-likeness through concept-feature associations in high and low L2p bilinguals, both at the group- and the individual-level.Significance: Our findings suggest that increased L2p entails a more native-like organization of semantic memory, informing models of bilingual cognition and its links with experience-related variables.</t>
  </si>
  <si>
    <t>García, Adolfo/E-7150-2017; Kogan, Boris/HPD-5180-2023; Vivas, leticia/HMW-1500-2023; Amoruso, Lucía/P-6949-2019</t>
  </si>
  <si>
    <t>Amoruso, Lucia/0000-0003-4696-2187; Kogan, Boris/0000-0002-5844-6203</t>
  </si>
  <si>
    <t>1367-0069</t>
  </si>
  <si>
    <t>1756-6878</t>
  </si>
  <si>
    <t>2024 JUL 30</t>
  </si>
  <si>
    <t>10.1177/13670069241267136</t>
  </si>
  <si>
    <t>WOS:001279799500001</t>
  </si>
  <si>
    <t>Beckwith, S; Li, MM; Barker, KM; Gayles, J; Kågesten, AE; Lundgren, R; Dintrans, PV; Wilopo, SA; Moreau, C</t>
  </si>
  <si>
    <t>Beckwith, Sam; Li, Mengmeng; Barker, Kathryn M.; Gayles, Jennifer; Kagesten, Anna E.; Lundgren, Rebecka; Dintrans, Pablo Villalobos; Wilopo, Siswanto Agus; Moreau, Caroline</t>
  </si>
  <si>
    <t>The Impacts of Two Gender-Transformative Interventions on Early Adolescent Gender Norms Perceptions: A Difference-in-Difference Analysis</t>
  </si>
  <si>
    <t>Purpose: Inequitable gender norms are widespread and can be harmful to the wellbeing of adolescents. This study estimates the effects of two gender-transformative interventions, Semangat Dunia Remaja or Teen Aspirations (SETARA) and Growing Up Great! (GUG!), on gender norms perceptions and attitudes among very young adolescents in poor urban settings in Bandar Lampung, Semarang, Denpasar (Indonesia), and Kinshasa (Democratic Republic of the Congo). Methods: The study draws from the longitudinal Global Early Adolescent Study, using a quasi-experimental design to evaluate the interventions. Data collection took place between 2017 and 2020. Our analytical samples included 2,159 adolescents in Kinshasa and 3,335 in Indonesia. We conducted a difference-in-difference analysis using generalized estimation equations and generalized linear models, after stratification by site and sex. Results: The interventions shifted a range of gender perceptions, although effects varied by program, city, and sex. SETARA shifted gender-normative perceptions related to traits, roles, and relations, while GUG! effects were more concentrated on attitudes toward chore sharing. SETARA was most effective in Semarang and Denpasar, but not in Bandar Lampung. In addition, both interventions were more consistently effective for girls than boys. Discussion: Gender-transformative interventions can effectively promote gender equality in early adolescence, but effects are program-specific and context-specific. Our findings emphasize the importance of defined theories of change and consistent implementation in gender-transformative intervention. (c) 2022 Published by Elsevier Inc. on behalf of Society for Adolescent Health and Medicine. This is an open access article under the CC BY-NC-ND license (http://creativecommons.org/licenses/by-nc-nd/ 4.0/).</t>
  </si>
  <si>
    <t>Li, Mengmeng/AAO-2017-2021; Barker, Kathryn/KBD-4684-2024; Wilopo, Siswanto/AAJ-2092-2020; Dintrans, Pablo/AAM-6248-2020; Kagesten, Anna/E-6680-2017</t>
  </si>
  <si>
    <t>Villalobos Dintrans, Pablo/0000-0002-2236-6447; Beckwith, Samuel/0000-0002-3863-3036; Kagesten, Anna/0000-0002-5458-8319</t>
  </si>
  <si>
    <t>S55</t>
  </si>
  <si>
    <t>S64</t>
  </si>
  <si>
    <t>10.1016/j.jadohealth.2022.09.033</t>
  </si>
  <si>
    <t>WOS:001038798900008</t>
  </si>
  <si>
    <t>Subash, N; Avudaiappan, S; Kumar, SA; Amran, M; Vatin, N; Fediuk, R; Aepuru, R</t>
  </si>
  <si>
    <t>Subash, Narayanan; Avudaiappan, Siva; Adish Kumar, Somanathan; Amran, Mugahed; Vatin, Nikolai; Fediuk, Roman; Aepuru, Radhamanohar</t>
  </si>
  <si>
    <t>Experimental Investigation on Geopolymer Concrete with Various Sustainable Mineral Ashes</t>
  </si>
  <si>
    <t>The aim of this research was to find the best alternative for river sand in concrete. In both geopolymer concrete (GPC) and cement concrete (CC), the fine aggregates are replaced with various sustainable mineral ashes, and mechanical and durability tests are conducted. Specimens for tests were made of M-40 grade GPC and CC, with five different soil types as river sand substitute. The materials chosen to replace the river sand are manufactured sand (M-sand), sea sand, copper slag, quarry dust, and limestone sand as 25%, 50%, 75%, and 100%, respectively by weight. GPF50 and CC50 were kept as control mixes for GPC and CC, respectively. The test results of respective concretes are compared with the control mix results. From compressive strength results, M-sand as a fine aggregate had an increase in strength in every replacement level of GPC and CC. Additionally, copper slag is identified with a significant strength reduction in GPC and CC after 25% replacement. Copper slag, quarry dust, and limestone sand in GPC and CC resulted in considerable loss of strength in all replacement levels except for 25% replacement. The cost of GPC and CC is mixed with the selected fine aggregate replacement materials which arrived. Durability and cost analyses are performed for the advisable mixes and control mixes to have a comparison. Durability tests, namely, water absorption and acid tests and water permeability and thermal tests are conducted and discussed. Durability results also indicate a positive signal to mixes with M-sand. The advisable replacement of river sand with each alternative is discussed.</t>
  </si>
  <si>
    <t>Vatin, Nikolai Ivanovich/O-6995-2019; Avudaiappan, Siva/AAV-7579-2021; amran, mugahed/AAW-4821-2020; AEPURU, RADHAMANOHAR/AAT-4645-2020; Fediuk, Roman/N-6730-2017</t>
  </si>
  <si>
    <t>Fediuk, Roman/0000-0002-2279-1240; AVUDAIAPPAN, SIVA/0000-0002-4289-4298; Vatin, Nikolai Ivanovich/0000-0002-1196-8004; N, Subash/0000-0002-7418-125X</t>
  </si>
  <si>
    <t>10.3390/ma14247596</t>
  </si>
  <si>
    <t>WOS:000738749900001</t>
  </si>
  <si>
    <t>Muthalvan, RS; Ravikumar, S; Avudaiappan, S; Amran, M; Aepuru, R; Vatin, N; Fediuk, R</t>
  </si>
  <si>
    <t>Muthalvan, Renuka Senthil; Ravikumar, Suraj; Avudaiappan, Siva; Amran, Mugahed; Aepuru, Radhamanohar; Vatin, Nikolai; Fediuk, Roman</t>
  </si>
  <si>
    <t>The Effect of Superabsorbent Polymer and Nano-Silica on the Properties of Blended Cement</t>
  </si>
  <si>
    <t>CRYSTALS</t>
  </si>
  <si>
    <t>Incorporating superabsorbent polymer (SAP), which has the abilities of absorption and desorption in cement mortar, can achieve the effect of internal curing. It is expected that the incorporation of nano-silica will improve the workability and strength in cement mortar/concrete. Hence, this study aims to examine the effect of SAP and nano-silica on the properties of blended cement paste. The experimental investigations via several tests such as consistency, setting time, compressive strength, UPV, and acid test were performed. Based on energy-dispersive X-ray analysis (EDX) test and scanning electron microscopy (SEM) test results, the morphology of hydration products and mineral compositions of cement paste were further analysed, and the mechanism of SAP with 0.2% and 0.3% and NS with lower percentages ranging from 0.5% to 2% on the performance of cement paste was studied. The results exhibited that incorporating SAP in various percentages from 0.5% to 2% prolonged the initial setting time, reduced the fluidity, and increased the water content and formation of pores. In addition, various percentages ranging from 0.5% to 2% of NS were added; thereby, an increase in the hydration process and refining the microstructure was found. The microscopic test results showed that the blended cement paste can effectively improve the denser microstructure and refine the pore structure.</t>
  </si>
  <si>
    <t>amran, mugahed/AAW-4821-2020; Vatin, Nikolai Ivanovich/O-6995-2019; Avudaiappan, Siva/AAV-7579-2021; AEPURU, RADHAMANOHAR/AAT-4645-2020; Senthil Muthalvan, Renuka/AAB-1598-2020; Fediuk, Roman/N-6730-2017</t>
  </si>
  <si>
    <t>Vatin, Nikolai Ivanovich/0000-0002-1196-8004; AVUDAIAPPAN, SIVA/0000-0002-4289-4298; Senthil Muthalvan, Renuka/0000-0002-7096-6316; Fediuk, Roman/0000-0002-2279-1240</t>
  </si>
  <si>
    <t>2073-4352</t>
  </si>
  <si>
    <t>10.3390/cryst11111394</t>
  </si>
  <si>
    <t>WOS:000725151000001</t>
  </si>
  <si>
    <t>Arularasi, V; Thamilselvi, P; Avudaiappan, S; Flores, EIS; Amran, M; Fediuk, R; Vatin, N; Karelina, M</t>
  </si>
  <si>
    <t>Arularasi, V; Thamilselvi, P.; Avudaiappan, Siva; Flores, Erick I. Saavedra; Amran, Mugahed; Fediuk, Roman; Vatin, Nikolai; Karelina, Maria</t>
  </si>
  <si>
    <t>Rheological Behavior and Strength Characteristics of Cement Paste and Mortar with Fly Ash and GGBS Admixtures</t>
  </si>
  <si>
    <t>A cement paste or mortar is composed of a mineral skeleton with micron to millimeter-sized grains, surrounded by water filaments. The cohesion or shear resistance in the cement paste and mortar is caused by capillary forces of action. In the case of mortar mixes, there is friction between the particles. Therefore, the mortar mixture shows both friction between particles and cohesion, while the paste shows only cohesion, and the friction between particles is negligible. The property of the cement paste is greatly influenced by the rheological characteristics like cohesion and internal angle friction. It is also interesting that when studying the rheology of fresh concrete, the rheological behavior of cement paste and mortar has direct applicability. In this paper, the rheological characteristics of cement paste and mortar with and without mineral admixtures, that is, fly ash and ground granulated blast-furnace slag (GGBS), were studied. A cement mortar mix with a cement-to-sand ratio of 1:3 was investigated, including fly ash replacement from 10% to 40%, and GGBS from 10% to 70% of the weight of the cement. A suitable blend of fly ash, GGBS, and ordinary Portland cement (OPC) was also selected to determine rheological parameters. For mortar mixtures, the flow table was conducted for workability studies. The flexural and split tensile strength tests were conducted on various mortar mixtures for different curing times. The results indicate that in the presence of a mineral mixture of fly ash and GGBS, the rheological behavior of paste and mortar is similar. Compared with OPC-GGBS-based mixtures, both cement with fly ash and ternary mixtures show less shear resistance or impact resistance. The rheological behavior of the mortar also matches the rheological behavior in the flow table test. Therefore, it is easy to use the vane shear test equipment to conduct cohesion studies to understand the properties of cement paste and mortar using mineral admixtures. The strength results show that the long-term strength of GGBS-based mixtures and ternary mixed mixtures is better than that of fly-ash-based mixtures. For all mixtures, the strength characteristics are greatest at a w/b ratio of 0.6.</t>
  </si>
  <si>
    <t>Avudaiappan, Siva/AAV-7579-2021; Veerabadrasamy, Arularasi/ABC-9224-2021; Flores, Erick/I-7646-2012; Karelina, Maria/E-1309-2019; amran, mugahed/AAW-4821-2020; Vatin, Nikolai Ivanovich/O-6995-2019; Pachiappan, THAMILSELVI/AFR-1151-2022; Fediuk, Roman/N-6730-2017</t>
  </si>
  <si>
    <t>V, Arularasi/0000-0001-5990-0802; AVUDAIAPPAN, SIVA/0000-0002-4289-4298; Fediuk, Roman/0000-0002-2279-1240; Vatin, Nikolai Ivanovich/0000-0002-1196-8004</t>
  </si>
  <si>
    <t>10.3390/su13179600</t>
  </si>
  <si>
    <t>WOS:000695602400001</t>
  </si>
  <si>
    <t>Echeverria, C; Eltit, F; Santibanez, JF; Gatica, S; Cabello-Verrugio, C; Simon, F</t>
  </si>
  <si>
    <t>Echeverria, Cesar; Eltit, Felipe; Santibanez, Juan F.; Gatica, Sebastian; Cabello-Verrugio, Claudio; Simon, Felipe</t>
  </si>
  <si>
    <t>Endothelial dysfunction in pregnancy metabolic disorders</t>
  </si>
  <si>
    <t>BIOCHIMICA ET BIOPHYSICA ACTA-MOLECULAR BASIS OF DISEASE</t>
  </si>
  <si>
    <t>In recent years, the vascular endothelium has gained attention as a key player in the initiation and development of pregnancy disorders. Endothelium acts as an endocrine organ that preserves the homeostatic balance by responding to changes in metabolic status. However, in metabolic disorders, endothelial cells adopt a dysfunctional function, losing their normal responsiveness. During pregnancy, several metabolic changes occur, in which endothelial function decisively participates. Similarly, when pregnancy metabolic disorders occur, endothelial dysfunction plays a key role in pathogenesis. This review outlines the main findings regarding endothelial dysfunction in three main metabolic pathological conditions observed during pregnancy: gestational diabetes, hypertensive disorders, and obesity and hyperlipidemia. Organ, histological and cellular characteristics were thoroughly described. Also, we focused in discussing the underlying molecular mechanisms involved in the cellular signaling pathways that mediate responses in these pathological conditions.</t>
  </si>
  <si>
    <t>Santibanez, Juan/K-7071-2016; Gatica, Sebastian/F-5669-2012; Eltit, Felipe/HNP-7471-2023; ECHEVERRIA, CESAR/AAH-4994-2019; Cabello-Verrugio, Claudio/AAD-1454-2020</t>
  </si>
  <si>
    <t>Simon, Felipe/0000-0002-2653-9798; ECHEVERRIA ECHEVERRIA, CESAR ANTONIO/0000-0001-5431-7183; Cabello-Verrugio, Claudio/0000-0001-7273-2102</t>
  </si>
  <si>
    <t>0925-4439</t>
  </si>
  <si>
    <t>1879-260X</t>
  </si>
  <si>
    <t>10.1016/j.bbadis.2019.02.009</t>
  </si>
  <si>
    <t>WOS:000509614800002</t>
  </si>
  <si>
    <t>Espejo, AP; Zierold, R; Gooth, J; Dendooven, J; Detavernier, C; Escrig, J; Nielsch, K</t>
  </si>
  <si>
    <t>Espejo, A. P.; Zierold, R.; Gooth, J.; Dendooven, J.; Detavernier, C.; Escrig, J.; Nielsch, K.</t>
  </si>
  <si>
    <t>Magnetic and electrical characterization of nickel-rich NiFe thin films synthesized by atomic layer deposition and subsequent thermal reduction</t>
  </si>
  <si>
    <t>Nickel-rich NiFe thin films (Ni92Fe8, Ni89Fe11 and Ni83Fe17) were prepared by combining atomic layer deposition (ALD) with a subsequent thermal reduction process. In order to obtain NixFe1-xOy films, one ALD supercycle was performed according to the following sequence: m NiCp2/O-3, with m = 1, 2 or 3, followed by one FeCp2/O-3 cycle. The supercycle was repeated n times. The thermal reduction process in hydrogen atmosphere was investigated by in situ x-ray diffraction studies as a function of temperature. The metallic nickel iron alloy thin films were investigated and characterized with respect to crystallinity, morphology, resistivity, and magnetism. As proof-of-concept magnetic properties of an array of Ni83Fe17, close to the perfect Permalloy stoichiometry, nanotubes and an isolated tube were investigated.</t>
  </si>
  <si>
    <t>Nielsch, Kornelius/S-3196-2016; Detavernier, Christophe/I-2766-2014; Dendooven, Jolien/M-2013-2018; Zierold, Robert/M-5361-2018; Escrig, Juan/N-4304-2015</t>
  </si>
  <si>
    <t>Dendooven, Jolien/0000-0002-2385-3693; Zierold, Robert/0000-0003-0292-0970; Escrig, Juan/0000-0002-3958-8185; Nielsch, Kornelius/0000-0003-2271-7726</t>
  </si>
  <si>
    <t>AUG 26</t>
  </si>
  <si>
    <t>10.1088/0957-4484/27/34/345707</t>
  </si>
  <si>
    <t>WOS:000383963300021</t>
  </si>
  <si>
    <t>Dávila, S; Labbé, M; Marianov, V; Ordonez, F; Semet, F</t>
  </si>
  <si>
    <t>Davila, Sebastian; Labbe, Martine; Marianov, Vladimir; Ordonez, Fernando; Semet, Frederic</t>
  </si>
  <si>
    <t>Product line optimization with multiples sites</t>
  </si>
  <si>
    <t>COMPUTERS &amp; OPERATIONS RESEARCH</t>
  </si>
  <si>
    <t>We consider the problem faced by a retail chain that must select what mutual-substitute items to display each one of its stores to maximize revenues. The number of items cannot exceed the limit space capacity of each store. Customers purchase the one product that maximizes their utility, which depends on the product price, travel cost to the store, and reservation price, known to the retailer. The retailer can set different price markdowns at different stores and products. The retailer considers the decisions of customers, and solves mixed-integer bilevel optimization problem, which can be formulated as a single-level optimization problem by using optimality conditions for the lower level. We propose Branch and Cut and Cut and Branch methods and include a family of valid inequalities to solve the problem. We compare the results with those of a Benders decomposition method. Our computational results show that the proposed Cut and Branch method obtains the best performance and improves the current state of the art.</t>
  </si>
  <si>
    <t>Ordonez, Fernando/JCO-4671-2023; Semet, Frédéric/AAS-9142-2020; Marianov, Vladimir/D-1360-2011; davila, sebastian/HSG-4377-2023; Ordonez, Fernando/I-4889-2013</t>
  </si>
  <si>
    <t>Labbe, Martine/0000-0001-7471-2308; Davila-Galvez, Sebastian/0000-0002-8981-9754; Ordonez, Fernando/0000-0001-7037-6300; Semet, Frederic/0000-0002-1334-5417</t>
  </si>
  <si>
    <t>0305-0548</t>
  </si>
  <si>
    <t>1873-765X</t>
  </si>
  <si>
    <t>10.1016/j.cor.2022.105978</t>
  </si>
  <si>
    <t>WOS:000877371400001</t>
  </si>
  <si>
    <t>Alvarez, C; Ramírez-Vélez, R; Ramírez-Campillo, R; Ito, S; Celis-Morales, C; García-Hermoso, A; Rodriguez-Mañas, L; Lucia, A; Izquierdo, M</t>
  </si>
  <si>
    <t>Alvarez, C.; Ramirez-Velez, R.; Ramirez-Campillo, R.; Ito, S.; Celis-Morales, C.; Garcia-Hermoso, A.; Rodriguez-Manas, L.; Lucia, A.; Izquierdo, M.</t>
  </si>
  <si>
    <t>Interindividual responses to different exercise stimuli among insulin-resistant women</t>
  </si>
  <si>
    <t>We aimed to investigate which among 20 cardiometabolic and performance outcomes do and do not respond to high-intensity interval training (HIT), resistance training (RT), or concurrent training (CT) in insulin-resistant adult women. A secondary aim was to report the training-induced changes and the prevalence of non-responders. Forty-five insulin-resistant adult women were randomly assigned to one of the following 4 groups: HIT (39.2 +/- 9.5 years [y]; body mass index [BMI], 29.3 +/- 3.3; n= 14), RT (33.9 +/- 9.3 y; BMI, 29.4 +/- 5.5; n = 8), CT (43.3 +/- 8.1 y; BMI, 29.1 +/- 2.9; n = 10), and a control group (CG, 40.1 +/- 11.4 y; BMI, 28.3 +/- 3.5; n = 13). Nine body composition, 3 cardiovascular, 3 metabolic, and 5 performance outcomes were assessed at baseline and after 12 weeks of intervention. Considering all outcomes, the lowest number of total non-responses for one or more variables was found in the RT group, followed by the CT and HIT groups. Individuals in the CG group were classified as non-responders for almost all the variables. Moreover, there were several significant changes in body composition and metabolic parameters, including fasting glucose (HIT: -5.7, RT -5.1 mg/d), fasting insulin (HIT: -0.6, RT -0.6 mu IU/mL), and HOMA-IR (HIT: -0.3, RT -0.4), in addition to improvements in cardiovascular and performance parameters. Also, there were significant differences among groups in the prevalence of non-responders for the variables where a non-response was detected. Overall, the study suggests that independent of the mode of training including volume and frequency, RT has an important ability to reduce the prevalence of non-response to improve the 20 outcomes of health and performance in insulin-resistant adult women.</t>
  </si>
  <si>
    <t>Rodriguez-Manas, Leocadio/AFL-1127-2022; Ramirez-Campillo, Rodrigo/M-1258-2016; ALVAREZ, CRISTIAN/S-8150-2019; García-Hermoso, Antonio/ADU-2591-2022; Izquierdo, Mikel/A-4894-2010; Ramirez-Velez, Robinson/D-5311-2016; Garcia-Hermoso, Antonio/P-1857-2017</t>
  </si>
  <si>
    <t>Izquierdo, Mikel/0000-0002-1506-4272; Ramirez-Campillo, Rodrigo/0000-0003-2035-3279; Ramirez-Velez, Robinson/0000-0003-3075-6960; Garcia-Hermoso, Antonio/0000-0002-1397-7182; Alvarez, Cristian/0000-0003-4783-9981; Celis-Morales, Carlos/0000-0003-2612-3917; Lucia, Alejandro/0000-0002-5565-0997</t>
  </si>
  <si>
    <t>10.1111/sms.13213</t>
  </si>
  <si>
    <t>WOS:000441756500010</t>
  </si>
  <si>
    <t>Muñoz-Urtubia, N; Vega-Muñoz, A; Estrada-Muñoz, C; Salazar-Sepúlveda, G; Contreras-Barraza, N; Castillo, D</t>
  </si>
  <si>
    <t>Munoz-Urtubia, Nicolas; Vega-Munoz, Alejandro; Estrada-Munoz, Carla; Salazar-Sepulveda, Guido; Contreras-Barraza, Nicolas; Castillo, Dante</t>
  </si>
  <si>
    <t>Healthy Behavior and Sports Drinks: A Systematic Review</t>
  </si>
  <si>
    <t>This review article aims to systematically identify the relationship between sports drinks and healthy behavior. This systematic literature review was conducted according to the Preferred Reporting Items for Systematic Reviews and Meta-Analyses (PRISMA) guideline criteria, and eligibility criteria were established using the PICOS tool (population, interventions, comparators, outcomes, and study) from about 1000 records of sports drinks articles identified in the various Web of Science Core Collection databases. The literature review stages determined a reduced set of 15 articles relating these drinkable supplements to healthy behavior. This study concludes that water consumption should be emphasized for non-athletes, sports drinks should be labeled to indicate water consumption and carry a warning label, and more randomized clinical trials should be considered to ensure conclusive results for health decision making.</t>
  </si>
  <si>
    <t>Muñoz-Urtubia, Nicolás/ABP-0445-2022; Estrada-Muñoz, Carla/HSH-1293-2023; Salazar-Sepúlveda, Guido/CAH-3395-2022; Vega-Muñoz, Alejandro/AAX-7468-2021; Contreras-Barraza, Nicolás/HTP-2328-2023</t>
  </si>
  <si>
    <t>Salazar, Guido/0000-0002-4979-6869; Munoz Urtubia, Nicolas/0000-0003-0567-471X; Contreras-Barraza, Nicolas/0000-0001-6729-4398; Castillo, Dante/0000-0002-5648-0627; Vega, Alejandro/0000-0002-9427-2044</t>
  </si>
  <si>
    <t>10.3390/nu15132915</t>
  </si>
  <si>
    <t>WOS:001031153200001</t>
  </si>
  <si>
    <t>Hernandez-Martinez, J; Castillo-Cerda, M; Vera-Assaoka, T; Carter-Truillier, B; Herrera-Valenzuela, T; Guzmán-Muñoz, E; Branco, BHM; Jofré-Saldía, E; Valdés-Badilla, P</t>
  </si>
  <si>
    <t>Hernandez-Martinez, Jordan; Castillo-Cerda, Maria; Vera-Assaoka, Tiago; Carter-Truillier, Bastian; Herrera-Valenzuela, Tomas; Guzman-Munoz, Eduardo; Branco, Braulio Henrique Magnani; Jofre-Saldia, Emilio; Valdes-Badilla, Pablo</t>
  </si>
  <si>
    <t>Warm-Up and Handgrip Strength in Physically Inactive Chilean Older Females According to Baseline Nutritional Status</t>
  </si>
  <si>
    <t>This study aims to analyze the effect of different types of warm-ups on handgrip strength (HGS) in physically inactive older females. Secondarily, it aims to compare HGS according to their baseline nutritional status. A randomized crossover trial study was conducted with 44 physically inactive older females distributed into normal weight (n = 12, BMI = 23.9 +/- 3.2 kg/m(2)), overweight (n =16, BMI = 27 +/- 4.7 kg/m(2)) and obese (n = 16, BMI = 31.6 +/- 5.3 kg/m(2)), who participated in three warm-up conditions (static stretching condition, SSC; elastic band condition, EBC; and therapeutic compression ball condition, TCBC) and one control condition (CC, no warm-up). All participants performed the four randomized conditions with recovery within 72 h. A significant decrease (p &lt; 0.05) in HGS for the dominant and non-dominant hands was observed when comparing SSC vs. CC. In contrast, comparing the warm-up conditions according to the baseline nutritional status, statistically significant differences (p &lt; 0.05) were only reported in the obese group in the dominant and non-dominant hand in favor of CC concerning SSC. In conclusion, warm-up with static flexibility led to a decrease in HGS in physically inactive older females. Only the obese group exhibited this result when analyzed by nutritional status.</t>
  </si>
  <si>
    <t>Herrera-Valenzuela, Tomas/0000-0002-5219-5896; Valdes-Badilla, Pablo/0000-0002-3948-8280; Magnani Branco, Braulio Henrique/0000-0002-4625-9128; Guzman-Munoz, Eduardo/0000-0001-7001-9004</t>
  </si>
  <si>
    <t>10.3390/ijerph192013335</t>
  </si>
  <si>
    <t>WOS:000873119400001</t>
  </si>
  <si>
    <t>Sattler, U; Hogan, A; Keet, M; Presutti, V; Almeida, JPA; Takeda, H; Monnin, P; Pirro, G; Amato, CD</t>
  </si>
  <si>
    <t>Sattler, U; Hogan, A; Keet, M; Presutti, V; Almeida, JPA; Takeda, H; Monnin, P; Pirro, G; DAmato, C</t>
  </si>
  <si>
    <t>Sattler, Ulrike; Hogan, Aidan; Keet, Maria; Presutti, Valentina; Almeida, Joao Paulo A.; Takeda, Hideaki; Monnin, Pierre; Pirro, Giuseppe; Amato, Claudia d</t>
  </si>
  <si>
    <t>ISSA: Generic Pipeline, Knowledge Model and Visualization Tools to Help Scientists Search and Make Sense of a Scientific Archive</t>
  </si>
  <si>
    <t>SEMANTIC WEB - ISWC 2022</t>
  </si>
  <si>
    <t>21st International Semantic Web Conference (ISWC)</t>
  </si>
  <si>
    <t>OCT 23-27, 2022</t>
  </si>
  <si>
    <t>ChinaScope,Elsevier,IBM Res,Metaphacts,MEMECT,Oracle,Springer</t>
  </si>
  <si>
    <t>Faced with the ever-increasing number of scientific publications, researchers struggle to keep up, find and make sense of articles relevant to their own research. Scientific open archives play a central role in helping deal with this deluge, yet keyword-based search services often fail to grasp the richness of the semantic associations between articles. In this paper, we present the methods, tools and services implemented in the ISSA project to tackle these issues. The project aims to (1) provide a generic, reusable and extensible pipeline for the analysis and processing of articles of an open scientific archive, (2) translate the result into a semantic index stored and represented as an RDF knowledge graph; (3) develop innovative search and visualization services that leverage this index to allow researchers, decision makers or scientific information professionals to explore thematic association rules, networks of co-publications, articles with co-occurring topics, etc. To demonstrate the effectiveness of the solution, we also report on its deployment and user-driven customization for the needs of an institutional open archive of 110,000+ resources. Fully in line with the open science and FAIR dynamics, the presented work is available under an open license with all the accompanying documents necessary to facilitate its reuse. The knowledge graph produced on our use-case is compliant with common linked open data best practices.</t>
  </si>
  <si>
    <t>Hogan, Aidan/J-4978-2016; Pirrò, Giuseppe/AAF-1993-2019; Takeda, Hideaki/C-4956-2008; Almeida, João/N-8243-2013</t>
  </si>
  <si>
    <t>Bobasheva, Anna/0000-0003-0395-2069; Dupre, Sebastien/0000-0001-6733-8960; Toulet, Anne/0000-0003-0463-0854</t>
  </si>
  <si>
    <t>978-3-031-19432-0; 978-3-031-19433-7</t>
  </si>
  <si>
    <t>10.1007/978-3-031-19433-7_38</t>
  </si>
  <si>
    <t>WOS:000886782800038</t>
  </si>
  <si>
    <t>Asher, MI; Stewart, AW; Mallol, J; Montefort, S; Lai, CKW; Aït-Khaled, N; Odhiambo, J</t>
  </si>
  <si>
    <t>Asher, M. Innes; Stewart, Alistair W.; Mallol, Javier; Montefort, Stephen; Lai, Christopher K. W.; Ait-Khaled, Nadia; Odhiambo, Joseph</t>
  </si>
  <si>
    <t>ISAAC Phase One Study Grp</t>
  </si>
  <si>
    <t>Which population level environmental factors are associated with asthma, rhinoconjunctivitis and eczema? Review of the ecological analyses of ISAAC Phase One</t>
  </si>
  <si>
    <t>RESPIRATORY RESEARCH</t>
  </si>
  <si>
    <t>The International Study of Asthma and Allergies in Childhood (ISAAC) Phase One showed large worldwide variations in the prevalence of symptoms of asthma, rhinoconjunctivitis and eczema, up to 10 to 20 fold between countries. Ecological analyses were undertaken with ISAAC Phase One data to explore factors that may have contributed to these variations, and are summarised and reviewed here. In ISAAC Phase One the prevalence of symptoms in the past 12 months of asthma, rhinoconjunctivitis and eczema were estimated from studies in 463,801 children aged 13-14 years in 155 centres in 56 countries, and in 257,800 children aged 6-7 years in 91 centres in 38 countries. Ecological analyses were undertaken between symptom prevalence and the following: Gross National Product per capita (GNP), food intake, immunisation rates, tuberculosis notifications, climatic factors, tobacco consumption, pollen, antibiotic sales, paracetamol sales, and outdoor air pollution. Symptom prevalence of all three conditions was positively associated with GNP, trans fatty acids, paracetamol, and women smoking, and inversely associated with food of plant origin, pollen, immunisations, tuberculosis notifications, air pollution, and men smoking. The magnitude of these associations was small, but consistent in direction between conditions. There were mixed associations of climate and antibiotic sales with symptom prevalence. The potential causality of these associations warrant further investigation. Factors which prevent the development of these conditions, or where there is an absence of a positive correlation at a population level may be as important from the policy viewpoint as a focus on the positive risk factors. Interventions based on small associations may have the potential for a large public health benefit.</t>
  </si>
  <si>
    <t>Asher, Innes/O-2604-2016; Forastiere, Francesco/J-9067-2016; Masjedi, Mohammad Reza/J-9776-2017; Guillen-Grima, FRANCISCO/H-3359-2012; Clancy, Luke/C-1632-2015; Ciccone, Giovannino/K-3136-2016; Rusconi, Franca/K-2346-2016; Khaitov, Rahim/K-5418-2014; Ellwood, Philippa/G-7555-2015; Bonini, Sergio/T-6594-2019</t>
  </si>
  <si>
    <t>Bonci, Enea/0000-0003-3325-1124; Forastiere, Francesco/0000-0002-9162-5684; Beasley, Richard/0000-0003-0337-406X; Chiarella, Pascual/0000-0001-7644-7237; Masjedi, Mohammad Reza/0000-0002-6871-382X; Pearce, Neil/0000-0002-9938-7852; Guillen-Grima, FRANCISCO/0000-0001-9749-8076; Wasif, Muhammad/0009-0004-1374-302X; Pattemore, Philip/0000-0002-4968-1287; williams, hywel/0000-0002-5646-3093; Khaitov, Rakhim/0000-0002-2397-5172; Clancy, Luke/0000-0003-2407-2263; Ciccone, Giovannino/0000-0001-7644-9574; Renzoni, Elisabetta/0000-0002-1118-797X; Amarales, Lidia/0009-0007-0832-7867; Rusconi, Franca/0000-0002-9544-6472; Khaitov, Rahim/0000-0003-1829-0424; Pekkanen, Juha/0000-0002-1083-8777; Mallol, Javier/0000-0003-2528-8672; Haidinger, Gerald/0000-0002-1199-6216; Garcia-Marcos, Luis/0000-0002-0925-3851; Ellwood, Philippa/0000-0002-1994-4023; Bonini, Sergio/0000-0003-0079-3031; Masjedi, Mohammadreza/0000-0003-4964-3851</t>
  </si>
  <si>
    <t>1465-993X</t>
  </si>
  <si>
    <t>10.1186/1465-9921-11-8</t>
  </si>
  <si>
    <t>WOS:000275505400002</t>
  </si>
  <si>
    <t>Grunenwald, F; Huerta, TJ; Sepulveda, D; Jerez, C; Urbina, V; Carrera, B; Diaz-Espinoza, R; Nova, E; Pacheco, R; Martín-Montañez, E; Gil-Rodriguez, S; Valverde, N; Garcia-Fernandez, M; Aguilera, C; Chana-Cuevas, P; Vidal, RL</t>
  </si>
  <si>
    <t>Grunenwald, Felipe; Huerta, Tomas J.; Sepulveda, Denisse; Jerez, Carolina; Urbina, Valentina; Carrera, Barbara; Diaz-Espinoza, Rodrigo; Nova, Esteban; Pacheco, Rodrigo; Martin-Montanez, Elisa; Gil-Rodriguez, Sara; Valverde, Nadia; Garcia-Fernandez, Maria; Aguilera, Carlos; Chana-Cuevas, Pedro; Vidal, Rene L.</t>
  </si>
  <si>
    <t>IGF2-Reprogrammed Macrophages Ameliorate the Inflammatory Response and Protect Against the Neuroinflammatory Process in Parkinson's Disease Models</t>
  </si>
  <si>
    <t>AGING CELL</t>
  </si>
  <si>
    <t>Parkinson's disease (PD) is a neurodegenerative disorder characterized by the progressive loss of dopaminergic neurons in the Substantia Nigra, leading to motor impairment. A hallmark of PD is the presence of misfolded alpha-synuclein (alpha-syn) proteins and their neurotoxic accumulations, contributing to neuronal loss. Additionally, the inflammatory response plays a critical role in modulating the neurodegeneration process in PD. Moreover, peripheral macrophages recognize alpha-syn, triggering chronic inflammation in both the bloodstream and brain tissue, leading to elevated levels of proinflammatory cytokines, as it was observed in PD patient samples. Insulin-like growth factor 2 (IGF2) is a secreted factor with neuroprotective properties in several neurodegenerative disease models. Moreover, IGF2 signaling has been implicated in the cellular reprogramming of macrophages to an anti-inflammatory phenotype through epigenetic changes. Recently, reduced IGF2 levels in both plasma and peripheral blood mononuclear cells (PBMCs) from PD patient samples were reported, suggesting a potential link between IGF2 levels and inflammation. In this study, we investigated the inflammatory profile of PD patients and the effect of IGF2-reprogrammed macrophages in in vitro and in vivo PD models. Here, we report a significant increase in proinflammatory markers in PBMCs from PD patients. IGF2 treatment prevented alpha-syn-induced pro-inflammatory profile in murine primary macrophages. Notably, IGF2-reprogrammed macrophage treatment significantly reduced motor impairment, alpha-syn accumulation, and microglial activation in the Substantia Nigra across different stages of disease progression in the PD preclinical model. These findings highlight the immunomodulatory effect of IGF2 on macrophages and its potential therapeutic impact on PD.</t>
  </si>
  <si>
    <t>Diaz-Espinoza, Rodrigo/HDM-8819-2022; Grunenwald, felipe/GVT-6646-2022; Garcia Fernandez, Eugenia/E-8103-2011</t>
  </si>
  <si>
    <t>Gil-Rodriguez, Sara/0000-0003-2647-8988</t>
  </si>
  <si>
    <t>1474-9718</t>
  </si>
  <si>
    <t>1474-9726</t>
  </si>
  <si>
    <t>2025 MAR 27</t>
  </si>
  <si>
    <t>10.1111/acel.70020</t>
  </si>
  <si>
    <t>WOS:001454625400001</t>
  </si>
  <si>
    <t>Vanegas-López, J; Guzmán-Venegas, R; Marzuca-Nassr, G; Muñoz-Poblete, C; Quiroz-Sandoval, G; Silva-Urra, J; Orellana-Uribe, A; Dubó, S; Sepúlveda, I; Márquez, JL</t>
  </si>
  <si>
    <t>Vanegas-Lopez, Jairo; Guzman-Venegas, Rodrigo; Marzuca-Nassr, Gabriel; Munoz-Poblete, Claudio; Quiroz-Sandoval, Gonzalo; Silva-Urra, Juan; Orellana-Uribe, Andres; Dubo, Sebastian; Sepulveda, Ignacio; Marquez, Jose Luis</t>
  </si>
  <si>
    <t>Associations of Sex and Household Area With Physical Activity and Sedentary Behavior During Total and Partial COVID-19 Lockdowns in Chile: A Study in Adults Aged 18-44 Years</t>
  </si>
  <si>
    <t>JOURNAL OF PREVENTIVE MEDICINE &amp; PUBLIC HEALTH</t>
  </si>
  <si>
    <t>Objectives: The coronavirus disease 2019 pandemic led to various intensities of lockdowns, affecting lifestyles globally. This study investigates the impact of partial lockdown versus total lockdown on adult physical activity (PA) and sedentary behavior. Methods: A cross-sectional online survey was conducted from April 2020 to October 2020, with 493 participants included in the analysis. Results: The analysis revealed no significant differences in total PA or total sitting time between partial lockdown and total lockdown scenarios. However, moderate physical activity (MPA) significantly decreased during total lockdowns, with more pronounced reductions among females than males. Notably, a positive correlation was found between household area and MPA, suggesting that larger living spaces may encourage more PA. A negative correlation was observed between sitting time and MPA during both types of lockdown. Conclusions: Total lockdown conditions were associated with a significant decrease in MPA, highlighting sex disparities in PA responses. Living space size emerged as a crucial factor in maintaining PA levels during restricted conditions. This study emphasizes the need to consider environmental and demographic factors in public health strategies during prolonged periods of restricted movement.</t>
  </si>
  <si>
    <t>Marzuca-Nassr, Gabriel/S-5901-2019; Winckler, Patricio/ISU-4620-2023; Vanegas, Jairo/AAK-4264-2020; Dubo, Sebastian/ISA-8522-2023; Marquez, Jose/AEV-0575-2022</t>
  </si>
  <si>
    <t>1975-8375</t>
  </si>
  <si>
    <t>2233-4521</t>
  </si>
  <si>
    <t>10.3961/jpmph.24.461</t>
  </si>
  <si>
    <t>WOS:001459809300007</t>
  </si>
  <si>
    <t>Pardo-Este, C; Lorca, D; Castro-Severyn, J; Krueger, G; Alvarez-Thon, L; Zepeda, P; Sulbaran-Bracho, Y; Hidalgo, A; Tello, M; Molina, F; Molina, L; Remonsellez, F; Castro-Nallar, E; Saavedra, C</t>
  </si>
  <si>
    <t>Pardo-Este, Coral; Lorca, Diego; Castro-Severyn, Juan; Krueger, Gabriel; Alvarez-Thon, Luis; Zepeda, Phillippi; Sulbaran-Bracho, Yoelvis; Hidalgo, Alejandro; Tello, Mario; Molina, Franck; Molina, Laurence; Remonsellez, Francisco; Castro-Nallar, Eduardo; Saavedra, Claudia</t>
  </si>
  <si>
    <t>Genetic Characterization of Salmonella Infantis with Multiple Drug Resistance Profiles Isolated from a Poultry-Farm in Chile</t>
  </si>
  <si>
    <t>Salmonella comprises over 2500 serotypes and foodborne contamination associated with this pathogen remains an important health concern worldwide. During the last decade, a shift in serotype prevalence has occurred as traditionally less prevalent serotypes are increasing in frequency of infections, especially those related to poultry meat contamination. S. Infantis is one of the major emerging serotypes, and these strains commonly display antimicrobial resistance and can persist despite cleaning protocols. Thus, this work aimed to isolate S. Infantis strains from a poultry meat farm in Santiago, Chile and to characterize genetic variations present in them. We determined their genomic and phenotypic profiles at different points along the production line. The results indicate that the strains encompass 853 polymorphic sites (core-SNPs) with isolates differing from one another by 0-347 core SNPs, suggesting variation among them; however, we found discrete correlations with the source of the sample in the production line. Furthermore, the pan-genome was composed of 4854 total gene clusters of which 2618 (53.9%) corresponds to the core-genome and only 181 (3.7%) are unique genes (those present in one particular strain). This preliminary analysis will enrich the surveillance of Salmonella, yet further studies are required to assess their evolution and phylogeny.</t>
  </si>
  <si>
    <t>Sulbaran, Yoelvis/KHZ-3232-2024; Tello, Mario/N-4198-2019; Castro-Nallar, Eduardo/I-5925-2019; Pardo Esté, Coral/KTI-4323-2024; Hidalgo, Alejandro/R-2915-2018</t>
  </si>
  <si>
    <t>Kruger, Gabriel/0000-0001-8681-8636; Tello, Mario/0000-0003-4573-6460; Alvarez-Thon, Luis/0000-0001-6347-1342; Remonsellez, Francisco/0000-0002-3930-2116; Hidalgo, Alejandro/0000-0002-7788-3185; Molina, Laurence/0000-0002-5332-3917; Pardo-Este, Coral/0000-0003-0958-3268; Castro-Nallar, Eduardo/0000-0003-4384-8661; Sulbaran, Yoelvis/0009-0005-4887-0691</t>
  </si>
  <si>
    <t>10.3390/microorganisms9112370</t>
  </si>
  <si>
    <t>WOS:000724504800001</t>
  </si>
  <si>
    <t>Armijo, J; Oerder, V; Auger, PA; Bravo, A; Molina, E</t>
  </si>
  <si>
    <t>Armijo, Julien; Oerder, Vera; Auger, Pierre-Amael; Bravo, Angela; Molina, Ernesto</t>
  </si>
  <si>
    <t>The 2016 red tide crisis in southern Chile: Possible influence of the mass oceanic dumping of dead salmons</t>
  </si>
  <si>
    <t>MARINE POLLUTION BULLETIN</t>
  </si>
  <si>
    <t>In 2016, a massive harmful algal bloom (HAB) of Alexandrium catenella around Chiloe island caused one of the major socio-ecological crisis in Chilean history. This red tide occurred in two distinct pulses, the second, most anomalous, bursting with extreme toxicity on the Pacific coast, weeks after the highly controversial dumping off Chiloe of 4,700 t of rotting salmons, killed by a previous HAB of Pseudochattonella verruculosa. We study the transport of this pollution, analyzing the physical oceanographic conditions during and after the dumping. We find that a cyclonic gyre was present between the dumping site and the coast, visible in satellite altimetry and sea surface temperature data. Using Lagrangian simulations, we confirm that near-surface currents could have brought part of the pollution to the coast, and fueled the bloom. This scenario explains also the anomalous later finding of ammonium near Chiloe. Finally we discuss the mismanagement of risk throughout the events.</t>
  </si>
  <si>
    <t>Auger, Pierre-Amaël/IYJ-9618-2023; Armijo, Julien/I-5413-2013; Oerder, Vera/HTS-7569-2023</t>
  </si>
  <si>
    <t>Oerder, Vera/0000-0001-7653-4154; Auger, Pierre-Amael/0000-0001-7644-4087</t>
  </si>
  <si>
    <t>0025-326X</t>
  </si>
  <si>
    <t>1879-3363</t>
  </si>
  <si>
    <t>10.1016/j.marpolbul.2019.110603</t>
  </si>
  <si>
    <t>WOS:000509611200048</t>
  </si>
  <si>
    <t>Farías-Valenzuela, C; Shepherd-Shepherd, C; Ferrero-Hernández, P; López-Sánchez, GF; Espoz-Lazo, S; Cofre-Bolados, C; del Val-Martín, P; de Victo, ER; Ferrari, G</t>
  </si>
  <si>
    <t>Farias-Valenzuela, Claudio; Shepherd-Shepherd, Catalina; Ferrero-Hernandez, Paloma; Lopez-Sanchez, Guillermo F.; Espoz-Lazo, Sebastian; Cofre-Bolados, Cristian; del Val-Martin, Pablo; de Victo, Eduardo R.; Ferrari, Gerson</t>
  </si>
  <si>
    <t>Five-repetition sit-to-stand test validation in adolescents and adults with intellectual disabilities</t>
  </si>
  <si>
    <t>This study aims to validate the five repetition sit to stand test (5R-STS) test as a measure of strength and functionality in adolescents and adults with intellectual disabilities (ID). The sample was made up of 159 subjects with ID (85 adolescents and 74 adults) of both sexes, with average age of 18.36 (5.26) years, belonging to four special educational centers from Santiago, Chile. Absolute (AHGS) and relative (RHGS) handgrip strength and countermovement jump (CMJ) were considered as muscle strength evaluation tests. The timed up and go (TUG) and agility test 4 x 10 m were considered as functional tests. Spearman and intraclass correlations, as well as Bland-Altman plots were used to establish the respective correlations. The average values obtained in the 5R-STS test (s) in adolescents were 6.55 and 7.24, while in adults they were 6.82 and 7.17 for men and women, respectively. Significant correlations (p = &lt; 0.05) are established between the 5R-STS test with AHGS (r= -0.48) and RHGS (r= -0.54), CMJ (-0.53), 4 x 10 m test (-0.50) and TUG (-0.49), as well as in the analysis of agreement between 5R-STS and the TUG (ICC = 0.74) and agility 4 x 10 m (ICC = 0.61) tests, both in adolescents and adults of both sexes. The 5R-STS test is a valid, simple and safe tool to evaluate general and lower extremity muscle strength. Its use is suggested as a simple measure for monitoring functional capacity by professionals in educational and health contexts for the adolescent and adult population with ID.</t>
  </si>
  <si>
    <t>Espoz-Lazo, Sebastian/AAV-2358-2020; López Sánchez, Guillermo Felipe/K-8703-2015; Victo, Eduardo/JQI-9333-2023; Ferrari, Gerson/HHM-6173-2022; Ferrari, Gerson/P-1152-2014</t>
  </si>
  <si>
    <t>DEC 5</t>
  </si>
  <si>
    <t>10.1038/s41598-024-80662-1</t>
  </si>
  <si>
    <t>WOS:001373766700013</t>
  </si>
  <si>
    <t>Dorfman, FT; Kogan, B; Barttfeld, P; García, AM</t>
  </si>
  <si>
    <t>Dorfman, Federico Teitelbaum; Kogan, Boris; Barttfeld, Pablo; Garcia, Adolfo M.</t>
  </si>
  <si>
    <t>Bilinguals on the footbridge: the role of foreign-language proficiency in moral decision making</t>
  </si>
  <si>
    <t>BILINGUALISM-LANGUAGE AND COGNITION</t>
  </si>
  <si>
    <t>Socio-cognitive research on bilinguals points to a moral foreign-language effect (MFLE), with more utilitarian choices (e.g., sacrificing someone to save more people) for moral dilemmas presented in the second language (L2) relative to the first language. Yet, inconsistent results highlight the influence of subject-level variables, including a critical underexplored factor: L2 proficiency (L2p). Here we provide a systematic review of 57 bilingualism studies on moral dilemmas, showing that L2p rarely modulates responses to impersonal dilemmas, but it does impact personal dilemmas (with MFLEs proving consistent at intermediate L2p levels but unsystematic at high L2p levels). We propose an empirico-theoretical framework to conceptualize such patterns, highlighting the impact of L2p on four affective mediating factors: mental imagery, inhibitory control, prosocial behavior and numerical processing. Finally, we outline core challenges for the field. These insights open new avenues at the crossing of bilingualism and social cognition research.</t>
  </si>
  <si>
    <t>Barttfeld, Pablo/0000-0001-8530-6938; Teitelbaum Dorfman, Federico/0009-0007-4305-4307; Kogan, Boris/0000-0002-5844-6203</t>
  </si>
  <si>
    <t>1366-7289</t>
  </si>
  <si>
    <t>1469-1841</t>
  </si>
  <si>
    <t>2024 APR 25</t>
  </si>
  <si>
    <t>10.1017/S1366728924000312</t>
  </si>
  <si>
    <t>WOS:001208112600001</t>
  </si>
  <si>
    <t>Villarreal, P; O'Donnell, S; Agier, N; Munoz-Guzman, F; Benavides-Parra, J; Urbina, K; Peña, TA; Solomon, M; Nespolo, RF; Fischer, G; Varela, C; Cubillos, FA</t>
  </si>
  <si>
    <t>Villarreal, Pablo; O'Donnell, Samuel; Agier, Nicolas; Munoz-Guzman, Felipe; Benavides-Parra, Jose; Urbina, Kami; Pena, Tomas A.; Solomon, Mark; Nespolo, Roberto F.; Fischer, Gilles; Varela, Cristian; Cubillos, Francisco A.</t>
  </si>
  <si>
    <t>Domestication signatures in the non-conventional yeast Lachancea cidri</t>
  </si>
  <si>
    <t>MSYSTEMS</t>
  </si>
  <si>
    <t>Evaluating domestication signatures beyond model organisms is essential for a thorough understanding of the genotype-phenotype relationship in wild and human-related environments. Structural variations (SVs) can significantly impact phenotypes playing an important role in the physiological adaptation of species to different niches, including during domestication. A detailed characterization of the fitness consequences of these genomic rearrangements, however, is still limited in non-model systems, largely due to the paucity of direct comparisons between domesticated and wild isolates. Here, we used a combination of sequencing strategies to explore major genomic rearrangements in a Lachancea cidri yeast strain isolated from cider (CBS2950) and compared them to those in eight wild isolates from primary forests. Genomic analysis revealed dozens of SVs, including a large reciprocal translocation (similar to 16 kb and 500 kb) present in the cider strain, but absent from all wild strains. Interestingly, the number of SVs was higher relative to single-nucleotide polymorphisms in the cider strain, suggesting a significant role in the strain's phenotypic variation. The set of SVs identified directly impacts dozens of genes and likely underpins the greater fermentation performance in the L. cidri CBS2950. In addition, the large reciprocal translocation affects a proline permease (PUT4) regulatory region, resulting in higher PUT4 transcript levels, which agrees with higher ethanol tolerance, improved cell growth when using proline, and higher amino acid consumption during fermentation. These results suggest that SVs are responsible for the rapid physiological adaptation of yeast to a human-related environment and demonstrate the key contribution of SVs in adaptive fermentative traits in non-model species. IMPORTANCE The exploration of domestication signatures associated with human-related environments has predominantly focused on studies conducted on model organisms, such as Saccharomyces cerevisiae, overlooking the potential for comparisons across other non-Saccharomyces species. In our research, employing a combination of long- and short-read data, we found domestication signatures in Lachancea cidri, a non-model species recently isolated from fermentative environments in cider in France. The significance of our study lies in the identification of large array of major genomic rearrangements in a cider strain compared to wild isolates, which underly several fermentative traits. These domestication signatures result from structural variants, which are likely responsible for the phenotypic differences between strains, providing a rapid path of adaptation to human-related environments.</t>
  </si>
  <si>
    <t>Fischer, Gilles/G-6654-2016; Nespolo, Roberto/D-5601-2015; Cubillos, Francisco/MIT-2389-2025; Varela, Cristian/K-2931-2016</t>
  </si>
  <si>
    <t>O'Donnell, Samuel/0000-0003-2447-1993; Villarreal, Pablo/0000-0002-2254-0417</t>
  </si>
  <si>
    <t>2379-5077</t>
  </si>
  <si>
    <t>10.1128/msystems.01058-23</t>
  </si>
  <si>
    <t>WOS:001123961400001</t>
  </si>
  <si>
    <t>Kumar, R; Singh, DP; Muñoz, R; Amami, M; Singh, RK; Singh, S; Kumar, V</t>
  </si>
  <si>
    <t>Kumar, Rajesh; Singh, Dinesh Pratap; Munoz, Romina; Amami, Mongi; Singh, Rajesh Kumar; Singh, Shipra; Kumar, Vinod</t>
  </si>
  <si>
    <t>Graphene-based materials for biotechnological and biomedical applications: Drug delivery, bioimaging and biosensing</t>
  </si>
  <si>
    <t>MATERIALS TODAY CHEMISTRY</t>
  </si>
  <si>
    <t>Graphene is a highly versatile two-dimensional carbon-based material employed in several research areas having progressive characteristics comprising properties like high surface area, transport, thermal, optical, elasticity, strength etc. Graphene-based composite materials are considered to be potentially smart candidates for various biomedical application areas and are frequently used in medical applications and apply in electronics, implants, devices, and other biomedical-related applications. Compared to graphene, its derivatives, graphene oxide and reduced graphene oxide, easily exfoliated from chemically oxidized graphite, are favourable materials for biomedical applications due to their outstanding surface functionalizability, aqueous processability, amphiphilicity, fluorescence quenching, etc. In this proposed review article, we have selectively assessed the latest research to apply graphene and its derivatives with polymer/nanoparticles in biomedical applications like drug/ gene delivery, tissue engineering, bioimaging, biosensing, and magnetic resonance imaging. The exposure of graphene materials in biotechnological/biomedical applications has also led to a summary of their effects on human health and the environment. This review article is expected to provide helpful existing knowledge and inspire new ideas to enhance secure and effective biotechnological/biomedical devices based on graphene materials.</t>
  </si>
  <si>
    <t>Kumar, Dr. Rajesh/H-6510-2011; amami, mongi/CAF-1474-2022; Singh, Dinesh/A-2509-2011; Singh, Rajesh kumar/B-2721-2008</t>
  </si>
  <si>
    <t>Kumar, Rajesh/0000-0001-7065-3259; Singh, Rajesh kumar/0000-0001-8884-8775; Munoz Buzeta, Romina/0009-0009-1134-6297</t>
  </si>
  <si>
    <t>2468-5194</t>
  </si>
  <si>
    <t>10.1016/j.mtchem.2023.101750</t>
  </si>
  <si>
    <t>WOS:001089049100001</t>
  </si>
  <si>
    <t>Pérez, LM; Vélez, JA; Mahmud, MN; Corona, RM; Castillo-Sepúlveda, S; Pedraja-Rejas, L; Otxoa, RM; Mancini, HL; Laroze, D</t>
  </si>
  <si>
    <t>Perez, L. M.; Velez, J. A.; Mahmud, M. N.; Corona, R. M.; Castillo-Sepulveda, S.; Pedraja-Rejas, L.; Otxoa, R. M.; Mancini, H. L.; Laroze, D.</t>
  </si>
  <si>
    <t>Complexity measurements for the thermal convection in a viscoelastic fluid saturated porous medium</t>
  </si>
  <si>
    <t>RESULTS IN PHYSICS</t>
  </si>
  <si>
    <t>Measuring complexity statistical indicators is a key method to analyze and characterize dynamical systems. In this work, we perform a comparative analysis among the Lopez-Ruiz, Mancini &amp; Calbet complexity indicator and the largest Lyapunov exponent for the convection problem of a viscoelastic fluid in a porous medium with feedback control based in an Oldroyd carrier liquid through a four-dimensional generalized Lorenz system. With both indicators can be distinguished from chaotic to periodic states. We perform intensive numerical simulations with 4 x 10(6) in the space parameters, finding good agreement between them, such that difference is close to 2%. We have also detected that the computing time is much faster in the case of complexity indicator than for Lyapunov exponents. Finally, we have also studied the effect of the initial conditions in the coexistence states, encountering multistability.</t>
  </si>
  <si>
    <t>Pérez, Laura/AAZ-1995-2020; Laroze, David/Z-2852-2019; Laroze, David/E-9134-2011; Mahmud, Mohd Nasir/I-8716-2016</t>
  </si>
  <si>
    <t>Pedraja-Rejas, Liliana/0000-0001-7732-4183; Laroze, David/0000-0002-6487-8096; Corona, Rosa/0000-0001-6054-5019; Mahmud, Mohd Nasir/0000-0001-5122-2605; Castillo, Sebastian/0000-0001-7730-8773</t>
  </si>
  <si>
    <t>2211-3797</t>
  </si>
  <si>
    <t>10.1016/j.rinp.2023.106737</t>
  </si>
  <si>
    <t>WOS:001144457600001</t>
  </si>
  <si>
    <t>Stepanova, M; Borovsky, JE; Retino, A; Uritsky, V; Vörös, Z; Zimbardo, G</t>
  </si>
  <si>
    <t>Stepanova, Marina; Borovsky, Joseph E.; Retino, Alessandro; Uritsky, Vadim; Voeroes, Zoltan; Zimbardo, Gaetano</t>
  </si>
  <si>
    <t>Editorial: The Role of Turbulence in the Solar Wind, Magnetosphere, Ionosphere Dynamics</t>
  </si>
  <si>
    <t>FRONTIERS IN ASTRONOMY AND SPACE SCIENCES</t>
  </si>
  <si>
    <t>Zimbardo, Gaetano/AAS-8621-2020; Stepanova, Marina/D-6329-2011</t>
  </si>
  <si>
    <t>Retino, Alessandro/0000-0001-5824-2852; Stepanova, Marina/0000-0002-1053-3375</t>
  </si>
  <si>
    <t>2296-987X</t>
  </si>
  <si>
    <t>FEB 17</t>
  </si>
  <si>
    <t>10.3389/fspas.2021.763190</t>
  </si>
  <si>
    <t>WOS:000774189700001</t>
  </si>
  <si>
    <t>Hermosilla-Ibáñez, P; Cañon-Mancisidor, W; Costamagna, J; Vega, A; Paredes-García, V; Garland, MT; Le Fur, E; Cador, O; Spodine, E; Venegas-Yazigi, D</t>
  </si>
  <si>
    <t>Hermosilla-Ibanez, Patricio; Canon-Mancisidor, Walter; Costamagna, Juan; Vega, Andres; Paredes-Garcia, Veronica; Teresa Garland, Maria; Le Fur, Eric; Cador, Olivier; Spodine, Evgenia; Venegas-Yazigi, Diego</t>
  </si>
  <si>
    <t>Crystal lattice effect on the quenching of the intracluster magnetic interaction in [V12B18O60H6]10- polyoxometalate</t>
  </si>
  <si>
    <t>In the present work, the synthesis and structural characterization of four new polyoxovanadoborate (BVO) frameworks based on the [V12B18O60H6](10-) polyanion are reported: (NH4)(8)(1,3-diapH(2))-[V12B18O60H6]center dot 5H(2)O (1), K-8(NH4)(2)[V12B18O60H6]center dot 18H(2)O (2), K-10[V12B18O60H6]center dot 10H(2)O (3) and K8Cs2[V12B18O60H6]center dot 10H(2)O (4). A global antiferromagnetic behaviour is observed for these 10V(IV)/2V(V) mixed valence clusters. The magnetic data of 1, 2 and 3, which present different countercation environments, show that 1 is more coupled than 2 and 3. DFT calculations show that the positive charges strongly influence the polarization mechanism of the spin density of the vanadyl groups and the extent of the magnetic orbitals, therefore corroborating the experimental observation of the quenching effect of the magnetic coupling between vanadium centres of 2 and 3.</t>
  </si>
  <si>
    <t>Paredes-Garcia, Veronica/C-4415-2011; Vega, Andres/B-2122-2010; Hermosilla-Ibanez, Patricio/Y-7454-2018; Canon-Mancisidor, Walter/K-8764-2014; Venegas-Yazigi, Diego/C-5022-2009</t>
  </si>
  <si>
    <t>Hermosilla-Ibanez, Patricio/0000-0002-2272-9690; Vega, Andres/0000-0001-6501-4161; Canon-Mancisidor, Walter/0000-0003-1703-8729; Venegas-Yazigi, Diego/0000-0001-7816-2841; Cador, Olivier/0000-0003-2064-6223</t>
  </si>
  <si>
    <t>10.1039/c4dt01561d</t>
  </si>
  <si>
    <t>WOS:000342074100037</t>
  </si>
  <si>
    <t>Venegas-Yazigi, D; Hermosilla-Ibáñez, P; Costamagna, J; Spodine, E; Vega, A; Paredes-García, V; Le Fur, E</t>
  </si>
  <si>
    <t>Costamagna, J; Rabagliati, FM; Rivas, BL</t>
  </si>
  <si>
    <t>Venegas-Yazigi, Diego; Hermosilla-Ibanez, Patricio; Costamagna, Juan; Spodine, Evgenia; Vega, Andres; Paredes-Garcia, Veronica; Le Fur, Eric</t>
  </si>
  <si>
    <t>A Novel Coordination Polymer Based on Decavanadate Units Linked by Copper(II) Ethylenediamine Complexes</t>
  </si>
  <si>
    <t>MACROMOLECULAR COMPLEXES</t>
  </si>
  <si>
    <t>Macromolecular Symposia</t>
  </si>
  <si>
    <t>13th IUPAC International Symposium on Macromoleculer Complexes (MMC)</t>
  </si>
  <si>
    <t>NOV 15-17, 2009</t>
  </si>
  <si>
    <t>Termas de Chillan, CHILE</t>
  </si>
  <si>
    <t>IUPAC</t>
  </si>
  <si>
    <t>A novel coordination polymer[{Cu(en)(2)}(V10O28)](n)center dot 2n[Cu(en)(2)(H2O)]center dot 2n(H3BO3)center dot 2n(H2O) was obtained by hydrothermal reaction. The compound crystallizes in the monoclinic crystal system, in the C2/c space group, with a = 26.490 (3) angstrom; b = 11.6558 (11) angstrom; c = 19.8426 (19) angstrom; beta = 124.011 (1)degrees; V = 5078.6(8) angstrom(3). The solid structure is formed by polymeric chains, [Cu(en)(2)(H2O)](2+) cations, and boric acid and water solvate molecules, stabilized through a multiple hydrogen bond network.</t>
  </si>
  <si>
    <t>Vega, Andres/B-2122-2010; Paredes-Garcia, Veronica/C-4415-2011; Venegas-Yazigi, Diego/C-5022-2009; Hermosilla-Ibanez, Patricio/Y-7454-2018</t>
  </si>
  <si>
    <t>Venegas-Yazigi, Diego/0000-0001-7816-2841; Vega, Andres/0000-0001-6501-4161; Hermosilla-Ibanez, Patricio/0000-0002-2272-9690</t>
  </si>
  <si>
    <t>1022-1360</t>
  </si>
  <si>
    <t>10.1002/masy.201150611</t>
  </si>
  <si>
    <t>WOS:000297026400011</t>
  </si>
  <si>
    <t>Gray, PA; Hayes, JA; Ling, GY; Llona, I; Tupal, S; Picardo, MCD; Ross, SE; Hirata, T; Corbin, JG; Eugenín, J; Del Negro, CA</t>
  </si>
  <si>
    <t>Gray, Paul A.; Hayes, John A.; Ling, Guang Y.; Llona, Isabel; Tupal, Srinivasan; Picardo, Maria Cristina D.; Ross, Sarah E.; Hirata, Tsutomu; Corbin, Joshua G.; Eugenin, Jaime; Del Negro, Christopher A.</t>
  </si>
  <si>
    <t>Developmental Origin of PreBotzinger Complex Respiratory Neurons</t>
  </si>
  <si>
    <t>A subset of preBotzinger Complex (preBotC) neurokinin 1 receptor (NK1R) and somatostatin peptide (SST)-expressing neurons are necessary for breathing in adult rats, in vivo. Their developmental origins and relationship to other preBotC glutamatergic neurons are unknown. Here we show, in mice, that the core of preBotC SST+/NK1R(+)/SST 2a receptor(+) (SST2aR) neurons, are derived from Dbx1-expressing progenitors. We also show that Dbx1-derived neurons heterogeneously coexpress NK1R and SST2aR within and beyond the borders of preBotC. More striking, we find that nearly all non-catecholaminergic glutamatergic neurons of the ventrolateral medulla (VLM) are also Dbx1 derived. preBotC SST+ neurons are born between E9.5 and E11.5 in the same proportion as non-SST-expressing neurons. Additionally, preBotC Dbx1 neurons are respiratory modulated and show an early inspiratory phase of firing in rhythmically active slice preparations. Loss of Dbx1 eliminates all glutamatergic neurons from the respiratory VLM including preBotC NK1R(+)/SST+ neurons. Dbx1 mutant mice do not express any spontaneous respiratory behaviors in vivo. Moreover, they do not generate rhythmic inspiratory activity in isolated en bloc preparations even after acidic or serotonergic stimulation. These data indicate that preBotC core neurons represent a subset of a larger, more heterogeneous population of VLM Dbx1-derived neurons. These data indicate that Dbx1-derived neurons are essential for the expression and, we hypothesize, are responsible for the generation of respiratory behavior both in vitro and in vivo.</t>
  </si>
  <si>
    <t>Ross, Sarah/HII-3018-2022; Del Negro, Ciro/K-3451-2013; Tupal, Srinivasan/P-6032-2014</t>
  </si>
  <si>
    <t>Corbin, Joshua/0000-0003-0122-4324; Hayes, John/0000-0003-2849-7672</t>
  </si>
  <si>
    <t>NOV 3</t>
  </si>
  <si>
    <t>10.1523/JNEUROSCI.4031-10.2010</t>
  </si>
  <si>
    <t>WOS:000283793400032</t>
  </si>
  <si>
    <t>Vieito, JP; Espinosa, C; Wong, WK; Batmunkh, MU; Choijil, E; Hussien, M</t>
  </si>
  <si>
    <t>Vieito, Joao Paulo; Espinosa, Christian; Wong, Wing-Keung; Batmunkh, Munkh-Ulzii; Choijil, Enkhbayar; Hussien, Mustafa</t>
  </si>
  <si>
    <t>Herding behavior in integrated financial markets: the case of MILA</t>
  </si>
  <si>
    <t>INTERNATIONAL JOURNAL OF EMERGING MARKETS</t>
  </si>
  <si>
    <t>PurposeIt has been argued in the literature that structural changes in the financial markets, such as integration, have the potential to cause herding behavior or correlated behavioral patterns in traders. The purpose of this study is to investigate whether there is any financial herding behavior in the Latin American Integrated Market (MILA), a transnational stock market composed of Chile, Peru, Colombia and Mexico stock exchanges and whether there is any ARCH or GARCH effect in the herding behavior models.Design/methodology/approachThis study uses the modified return dispersion approach on daily index return data. The sample period is from January 03, 2002 to May 07, 2019. The data are obtained from the MILA database. To count time-varying volatilities in herding models, the authors run ARCH family regression with GARCH (1,1) settings. Hwang and Salmon (2004) model is used as a robustness test.FindingsThe authors found strong herding behavior under the general market conditions and moderate and partial herding behavior under some specified markets circumstances, such as bull and bear markets and high-low volatility states. Moreover, the pre-MILA period exhibits more herding behavior than the post-MILA period. The empirical results show that most of the ARCH and GARCH effects are statistically significant, implying that the past information of stock returns and market volatility significantly affect the volatility of following periods, which can also explain the formation of herding tendency among investors. Finally, the results of the robustness tests (Hwang and Salmon, 2004) confirm herding in all periods, except full sample period for Mexico and post-MILA period for Mexico and Colombia.Research limitations/implicationsThis study investigates the herding behavior in the MILA market in terms of market return, volatility and timing. A limitation of the paper is that the authors have not included other factors on the formation of herding behavior, such as macroeconomic factors, effects of regional or international markets and policy influences. The authors will explore the issue in the extension of the paper.Practical implicationsAs MILA is the first virtual integration of stock exchanges without merging, the study provides useful findings and draws good inferences of herding behavior in the MILA market in terms of market return, volatility and timing which are useful for academics, investors and policymakers in their investment and decision makings.Social implicationsThe paper provides useful findings and draws good inferences of herding behavior in the MILA market in terms of market return, volatility and timing which are not only useful in practical implications, but also in social implications.Originality/valueThis study contributes to the herding literature by examining four different hypotheses in respect of the unique case of transnational stock exchange without fusions or corporate mergers, where each market maintains its independence and regulatory autonomy. The authors also contribute to the literature by including both ARCH and GARCH effects in the herding behavioral models along the Hwang and Salmon (2004) approach.</t>
  </si>
  <si>
    <t>الفاتح, محمد/IAN-4217-2023; Vieito, João/AAE-1207-2020; Espinosa-Méndez, Christian/G-5177-2019; Wong, Wing-Keung/JCN-7787-2023; Batmunkh, Munkh-Ulzii/T-9287-2019; Vieito, Joao Paulo/J-5191-2012</t>
  </si>
  <si>
    <t>Hussien, Mustafa/0000-0002-0531-6325; Batmunkh, Munkh-Ulzii/0000-0002-6881-9755; Wong, Wing-Keung/0000-0001-6755-572X; Vieito, Joao Paulo/0000-0002-0899-4930</t>
  </si>
  <si>
    <t>1746-8809</t>
  </si>
  <si>
    <t>1746-8817</t>
  </si>
  <si>
    <t>NOV 26</t>
  </si>
  <si>
    <t>10.1108/IJOEM-08-2021-1202</t>
  </si>
  <si>
    <t>WOS:000963554100001</t>
  </si>
  <si>
    <t>Jimenez-Dinamarca, Ivanka; Prado, Yolanda; Tapia, Pablo; Gatica, Sebastian; Alt, Clemens; Lin, Charles P.; Reyes-Martinez, Cristian; Feijoo, Carmen G.; Aravena, Cristobal; Gonzalez-Canacer, Alejandra; Correa, Simon; Varela, Diego; Cabello-Verrugio, Claudio; Simon, Felipe</t>
  </si>
  <si>
    <t>Disseminated intravascular coagulation phenotype is regulated by the TRPM7 channel during sepsis</t>
  </si>
  <si>
    <t>BackgroundSepsis is an uncontrolled inflammatory response against a systemic infection that results in elevated mortality, mainly induced by bacterial products known as endotoxins, producing endotoxemia. Disseminated intravascular coagulation (DIC) is frequently observed in septic patients and is associated with organ failure and death. Sepsis activates endothelial cells (ECs), promoting a prothrombotic phenotype contributing to DIC. Ion channel-mediated calcium permeability participates in coagulation. The transient reception potential melastatin 7 (TRPM7) non-selective divalent cation channel that also contains an alpha-kinase domain, which is permeable to divalent cations including Ca2+, regulates endotoxin-stimulated calcium permeability in ECs and is associated with increased mortality in septic patients. However, whether endothelial TRPM7 mediates endotoxemia-induced coagulation is not known. Therefore, our aim was to examine if TRPM7 mediates coagulation during endotoxemia.ResultsThe results showed that TRPM7 regulated endotoxin-induced platelet and neutrophil adhesion to ECs, dependent on the TRPM7 ion channel activity and by the alpha-kinase function. Endotoxic animals showed that TRPM7 mediated neutrophil rolling on blood vessels and intravascular coagulation. TRPM7 mediated the increased expression of the adhesion proteins, von Willebrand factor (vWF), intercellular adhesion molecule 1 (ICAM-1), and P-selectin, which were also mediated by the TRPM7 alpha-kinase function. Notably, endotoxin-induced expression of vWF, ICAM-1 and P-selectin were required for endotoxin-induced platelet and neutrophil adhesion to ECs. Endotoxemic rats showed increased endothelial TRPM7 expression associated with a procoagulant phenotype, liver and kidney dysfunction, increased death events and an increased relative risk of death. Interestingly, circulating ECs (CECs) from septic shock patients (SSPs) showed increased TRPM7 expression associated with increased DIC scores and decreased survival times. Additionally, SSPs with a high expression of TRPM7 in CECs showed increased mortality and relative risk of death. Notably, CECs from SSPs showed significant results from the AUROC analyses for predicting mortality in SSPs that were better than the Acute Physiology and Chronic Health Evaluation II (APACHE II) and the Sequential Organ Failure Assessment (SOFA) scores.ConclusionsOur study demonstrates that sepsis-induced DIC is mediated by TRPM7 in ECs. TRPM7 ion channel activity and alpha-kinase function are required by DIC-mediated sepsis-induced organ dysfunction and its expression are associated with increased mortality during sepsis. TRPM7 appears as a new prognostic biomarker to predict mortality associated to DIC in SSPs, and as a novel target for drug development against DIC during infectious inflammatory diseases.</t>
  </si>
  <si>
    <t>Gatica, Sebastian/F-5669-2012; Varela, Diego/AAG-7489-2019; Feijoo, Carmen/AAF-9003-2019; Tapia, Pablo/J-2096-2016; Cabello-Verrugio, Claudio/AAD-1454-2020</t>
  </si>
  <si>
    <t>Feijoo, Carmen G/0000-0003-1128-403X; Prado Angulo, Yolanda patricia/0000-0002-3808-5703; Varela, Diego/0000-0002-9352-414X; Dinamarca, Ivanka/0000-0002-5118-6349</t>
  </si>
  <si>
    <t>10.1186/s40659-023-00419-4</t>
  </si>
  <si>
    <t>WOS:000943175100001</t>
  </si>
  <si>
    <t>Otero, C; Klagges, C; Morales, B; Sotomayor, P; Escobar, J; Fuentes, JA; Moreno, AA; Llancalahuen, FM; Arratia-Perez, R; Gordillo-Fuenzalida, F; Herrera, M; Martínez, JL; Rodríguez-Díaz, M</t>
  </si>
  <si>
    <t>Otero, Carolina; Klagges, Carolina; Morales, Bernardo; Sotomayor, Paula; Escobar, Jorge; Fuentes, Juan A.; Moreno, Adrian A.; Llancalahuen, Felipe M.; Arratia-Perez, Ramiro; Gordillo-Fuenzalida, Felipe; Herrera, Michelle; Martinez, Jose L.; Rodriguez-Diaz, Maite</t>
  </si>
  <si>
    <t>Anti-Inflammatory Chilean Endemic Plants</t>
  </si>
  <si>
    <t>PHARMACEUTICS</t>
  </si>
  <si>
    <t>Medicinal plants have been used since prehistoric times and continue to treat several diseases as a fundamental part of the healing process. Inflammation is a condition characterized by redness, pain, and swelling. This process is a hard response by living tissue to any injury. Furthermore, inflammation is produced by various diseases such as rheumatic and immune-mediated conditions, cancer, cardiovascular diseases, obesity, and diabetes. Hence, anti-inflammatory-based treatments could emerge as a novel and exciting approach to treating these diseases. Medicinal plants and their secondary metabolites are known for their anti-inflammatory properties, and this review introduces various native Chilean plants whose anti-inflammatory effects have been evaluated in experimental studies. Fragaria chiloensis, Ugni molinae, Buddleja globosa, Aristotelia chilensis, Berberis microphylla, and Quillaja saponaria are some native species analyzed in this review. Since inflammation treatment is not a one-dimensional solution, this review seeks a multidimensional therapeutic approach to inflammation with plant extracts based on scientific and ancestral knowledge.</t>
  </si>
  <si>
    <t>Moreno, Adrian/IWD-8997-2023; Rodríguez-Díaz, Maité/M-4213-2016; Morales Castañeda, Bernardo/GPP-1642-2022; Marchant Llancalahuen, Felipe/Q-2149-2017</t>
  </si>
  <si>
    <t>Otero, Carolina/0000-0002-8608-9813; Herrera Corvalan, Michelle/0000-0003-1895-0082; Klagges, Carolina/0000-0003-3663-266X; Rodriguez-Diaz, Maite/0000-0002-4165-8461; Sotomayor, Paula/0000-0001-7593-2599; Marchant Llancalahuen, Felipe/0000-0003-4014-4474; Moreno, Adrian/0000-0001-5125-2927; Gordillo-Fuenzalida, Felipe/0000-0002-2384-7357; Fuentes, Juan A./0000-0002-9374-0707</t>
  </si>
  <si>
    <t>1999-4923</t>
  </si>
  <si>
    <t>10.3390/pharmaceutics15030897</t>
  </si>
  <si>
    <t>WOS:000960246200001</t>
  </si>
  <si>
    <t>Acuna-Castillo, C; Inostroza-Molina, A; Castro, SA; Molina-Cabrera, S; Leiva-Salcedo, E; Riquelme, D; Luraschi, R; Barrera-Avalos, C; Vallejos-Vidal, E; Mella-Torres, A; Valdes, D; Torres, C; Maisey, K; Escobar, A; Reyes-Cerpa, S; Toro-Ascuy, D; Imarai, M; Reyes-Lopez, FE; Sandino, AM</t>
  </si>
  <si>
    <t>Acuna-Castillo, Claudio; Inostroza-Molina, Ailen; Castro, Sergio A.; Molina-Cabrera, Sonia; Leiva-Salcedo, Elias; Riquelme, Denise; Luraschi, Roberto; Barrera-Avalos, Carlos; Vallejos-Vidal, Eva; Mella-Torres, Andrea; Valdes, Daniel; Torres, Claudio; Maisey, Kevin; Escobar, Alejandro; Reyes-Cerpa, Sebastian; Toro-Ascuy, Daniela; Imarai, Monica; Reyes-Lopez, Felipe E.; Sandino, Ana Maria</t>
  </si>
  <si>
    <t>Comparison of the First and Second Wave of Infections by SARS-CoV-2: A Retrospective and Longitudinal Study From a Primary Health Care Center in Santiago of Chile</t>
  </si>
  <si>
    <t>The current COVID-19 pandemic is caused by the severe acute respiratory syndrome coronavirus 2 (SARS-CoV-2). Many countries have reported the experience of at least two contagion waves, describing associated mortality rates and population behavior. The analysis of the effect of this pandemic in different localities can provide valuable information on the key factors to consider in the face of future massive infectious diseases. This work describes the first retrospective and comparative study about behavior during the first and second waves of the COVID-19 pandemic in Chile from a primary Healthcare Center. From 19,313 real-time quantitative PCR (RT-qPCR) tests assessed, the selected 1,694 positive diagnostics showed a decrease in mortality rate in the second wave (0.6%) compared with the first (4.6%). In addition, we observed that infections in the second wave were mainly in young patients with reduced comorbidities. The population with a complete vaccination schedule shows a decrease in the duration of symptoms related to the disease, and patients with more comorbidities tend to develop severe illness. This report provides evidence to partially understand the behavior and critical factors in the severity of the COVID-19 pandemic in the population of Santiago of Chile.</t>
  </si>
  <si>
    <t>Maisey, Kevin/AAP-2886-2021; Acuña-Castillo, Claudio/AAI-7090-2021; Reyes-López, Felipe/S-1760-2018; Escobar, Alejandro/I-2775-2013; Luraschi, Roberto/AAI-7965-2021; Toro-Ascuy, Daniela/JDC-8224-2023; Vallejos-Vidal, Eva/R-9606-2019</t>
  </si>
  <si>
    <t>Toro-Ascuy, Daniela/0000-0002-2563-9711; Maisey, Kevin/0000-0002-7423-6329; Acuna-Castillo, Claudio/0000-0003-3607-6077; Vallejos-Vidal, Eva/0000-0002-3091-2700; Reyes, Sebastian/0000-0002-7676-1266; Reyes-Lopez, Felipe E./0000-0002-5001-457X; Luraschi, Roberto/0000-0001-5611-4320</t>
  </si>
  <si>
    <t>JUN 30</t>
  </si>
  <si>
    <t>10.3389/fpubh.2022.913519</t>
  </si>
  <si>
    <t>WOS:000827350500001</t>
  </si>
  <si>
    <t>Mauricio, CD; Merino, P; Merlo, R; Vargas, JJN; Chávez, JAR; Pérez, DV; Aedo-Muñoz, EA; Slimani, M; Brito, CJ; Bragazzi, NL; Miarka, B</t>
  </si>
  <si>
    <t>Mauricio, Clovis De Albuquerque; Merino, Pablo; Merlo, Rodrigo; Narrea Vargas, Jose Jairo; Rodriguez Chavez, Juan Angel; Valenzuela Perez, Diego; Ariel Aedo-Munoz, Esteban; Slimani, Maamer; Brito, Ciro Jose; Bragazzi, Nicola Luigi; Miarka, Bianca</t>
  </si>
  <si>
    <t>Rapid Weight Loss of Up to Five Percent of the Body Mass in Less Than 7 Days Does Not Affect Physical Performance in Official Olympic Combat Athletes With Weight Classes: A Systematic Review With Meta-Analysis</t>
  </si>
  <si>
    <t>Given the relevance of the effects that weight loss can generate on the physical performance in athletes, this study performed a systematic review with meta-analysis of the published literature on rapid weight loss (RWL) and examined its impact on the physical performance in Official Olympic combat sports athletes. The Preferred Reporting Items for Systematic Reviews and Meta-Analysis  (PRISMA) guidelines were followed to ensure an ethical and complete reporting of the findings. PubMed, SPORT Discus, and EBSCO were the electronic databases explored for article retrieval and selection. The following string was applied: RWL  OR weight loss  OR weight reduction  AND judo  OR wrestling  or taekwondo  or boxing  AND performance.  Based on the quality analysis, conducted according to the Tool for the assessment of study quality and reporting in exercise training studies  (TESTEX), ten articles achieved a score &gt; 6 points. The meta-analysis showed a significant difference in pre- vs. post-weight loss (p = 0.003) and no effects in pre- vs. post-power and strength performance analysis (p &gt; 0.05 for both results). Based on our systematic review and meta-analysis of the literature, RWL up to &lt;= 5% of the body mass in less than 7 days does not influence performance outcomes in Official Olympic combat athletes with weight classes, considering the strength and power measures.</t>
  </si>
  <si>
    <t>Brito, Ciro/AAC-9104-2019; Merino Muñoz, Pablo/JGL-6690-2023; Aedo-Muñoz, Esteban/R-5623-2019; Bragazzi, Nicola/G-1672-2011; Rodriguez, Angel/KBB-6714-2024</t>
  </si>
  <si>
    <t>NARREA VARGAS, JOSE JAIRO/0000-0003-0774-606X; Merlo, Rodrigo Damian/0000-0002-7706-3750; brito, ciro/0000-0002-9678-1977; Merino-Munoz, Pablo/0000-0002-8323-726X; Rodriguez Chavez, Juan Angel/0000-0001-8039-1643</t>
  </si>
  <si>
    <t>APR 12</t>
  </si>
  <si>
    <t>10.3389/fphys.2022.830229</t>
  </si>
  <si>
    <t>WOS:000792608500001</t>
  </si>
  <si>
    <t>Martinez, P; Guajardo, V; Gomez, VE; Brandt, S; Szabo, W; Soto-Brandt, G; Farhang, M; Baeza, P; Campos, S; Herrera, P; Rojas, G</t>
  </si>
  <si>
    <t>Martinez, Pablo; Guajardo, Viviana; Gomez, Victor E.; Brandt, Sebastian; Szabo, Wilsa; Soto-Brandt, Gonzalo; Farhang, Maryam; Baeza, Paulina; Campos, Solange; Herrera, Pablo; Rojas, Graciela</t>
  </si>
  <si>
    <t>Technology-Assisted Collaborative Care Program for People with Diabetes and/or High Blood Pressure Attending Primary Health Care: A Feasibility Study</t>
  </si>
  <si>
    <t>The comorbidity of depression with physical chronic diseases is usually not considered in clinical guidelines. This study evaluated the feasibility of a technology-assisted collaborative care (TCC) program for depression in people with diabetes and/or high blood pressure (DM/HBP) attending a primary health care (PHC) facility in Santiago, Chile. Twenty people diagnosed with DM/HBP having a Patient Health Questionnaire-9 score &amp; GE; 15 points were recruited. The TCC program consisted of a face-to-face, computer-assisted psychosocial intervention (CPI, five biweekly sessions), telephone monitoring (TM), and a mobile phone application for behavioral activation (CONEMO). Assessments of depressive symptoms and other health-related outcomes were made. Thirteen patients completed the CAPI, 12 received TM, and none tried CONEMO. The TCC program was potentially efficacious in treating depression, with two-thirds of participants achieving response to depression treatment 12 weeks after baseline. Decreases were observed in depressive symptoms and healthcare visits and increases in mental health-related quality of life and adherence to treatment. Patients perceived the CPI as acceptable. The TCC program was partially feasible and potentially efficacious for managing depression in people with DM/HBP. These data are valuable inputs for a future randomized clinical trial.</t>
  </si>
  <si>
    <t>Martínez, Pablo/LZF-5853-2025; Herrera, Pablo/V-9948-2019</t>
  </si>
  <si>
    <t>Soto-Brandt, Gonzalo/0000-0002-7072-8166; Guajardo, Viviana/0000-0003-3906-5584; Martinez, Pablo/0000-0003-4482-7993; Campos - Romero, Solange/0000-0002-8838-7697; farhang, maryam/0000-0001-6345-6329</t>
  </si>
  <si>
    <t>10.3390/ijerph182212000</t>
  </si>
  <si>
    <t>WOS:000728219700001</t>
  </si>
  <si>
    <t>Oikonomou, A; Loutas, T; Fan, DX; Garmulewicz, A; Nounesis, G; Chaudhuri, S; Tourlomousis, F</t>
  </si>
  <si>
    <t>Oikonomou, Athanasios; Loutas, Theodoros; Fan, Dixia; Garmulewicz, Alysia; Nounesis, George; Chaudhuri, Santanu; Tourlomousis, Filippos</t>
  </si>
  <si>
    <t>Physics-Informed Bayesian learning of electrohydrodynamic polymer jet printing dynamics</t>
  </si>
  <si>
    <t>COMMUNICATIONS ENGINEERING</t>
  </si>
  <si>
    <t>Calibration of highly dynamic multi-physics manufacturing processes such as electrohydrodynamics-based additive manufacturing (AM) technologies (E-jet printing) is still performed by labor-intensive trial-and-error practices. Such practices have hindered the broad adoption of these technologies, demanding a new paradigm of self-calibrating E-jet printing machines. Here we develop an end-to-end physics-informed Bayesian learning framework (GPJet) which can learn the jet process dynamics with minimum experimental cost. GPJet consists of three modules: the machine vision module, the physics-based modeling module, and the machine learning (ML) module. GPJet was tested on a virtual E-jet printing machine with in-process jet monitoring capabilities. Our results show that the Machine Vision module can extract high-fidelity jet features in real-time from video data using an automated parallelized computer vision workflow. The Machine Vision module, combined with the Physics-based modeling module, can also act as closed-loop sensory feedback to the Machine Learning module of high- and low-fidelity data. This work extends the application of intelligent AM machines to more complex working conditions while reducing cost and increasing computational efficiency.</t>
  </si>
  <si>
    <t>2731-3395</t>
  </si>
  <si>
    <t>APR 29</t>
  </si>
  <si>
    <t>10.1038/s44172-023-00069-0</t>
  </si>
  <si>
    <t>WOS:001478240800001</t>
  </si>
  <si>
    <t>Peña, R; Bastidas, VM; Torres, F; Munro, WJ; Romero, G</t>
  </si>
  <si>
    <t>Pena, R.; Bastidas, V. M.; Torres, F.; Munro, W. J.; Romero, G.</t>
  </si>
  <si>
    <t>Fractional resonances and prethermal states in Floquet systems</t>
  </si>
  <si>
    <t>In periodically driven quantum systems, resonances can induce exotic nonequilibrium behavior and new phases of matter without static analog. We report on the emergence of fractional and integer resonances in a broad class of many-body Hamiltonians with a modulated hopping with a frequency that is either a fraction or an integer of the on-site interaction. We contend that there is a fundamental difference between these resonances when interactions bring the system to a Floquet prethermal state. Second-order processes dominate the dynamics in the fractional resonance case, leading to less entanglement and more localized quantum states than in the integer resonance case dominated by first-order processes. We demonstrate the dominating emergence of fractional resonances using the Magnus expansion of the effective Hamiltonian and quantify their effects on the many-body dynamics via quantum states' von Neumann entropy and Loschmidt echo. Our findings reveal novel features of the nonequilibrium quantum many-body system, such as the coexistence of Floquet prethermalization and localization, that may allow to development of quantum memories for quantum technologies and quantum information processing.</t>
  </si>
  <si>
    <t>Torres, Felipe/ABA-9751-2020; Munro, William/A-8453-2011; Romero, Guillermo/C-8245-2009</t>
  </si>
  <si>
    <t>Torres, Felipe/0000-0002-0444-3250; Bastidas, Victor M./0000-0001-8091-7860; Romero, Guillermo/0000-0003-2917-7814; Pena Guzman, Ruben/0000-0002-4828-0932</t>
  </si>
  <si>
    <t>AUG 29</t>
  </si>
  <si>
    <t>10.1103/PhysRevB.106.064307</t>
  </si>
  <si>
    <t>WOS:000861038600001</t>
  </si>
  <si>
    <t>Donoso, V; Gomez, CR; Orriantia, MA; Pérez, V; Torres, C; Coddou, C; Nelson, P; Maisey, K; Morales, B; Fernandez, R; Imarai, M; Huidobro-Toro, JP; Sierra, F; Acuña-Castillo, C</t>
  </si>
  <si>
    <t>Donoso, Veronica; Gomez, Christian R.; Orriantia, Miguel Angel; Perez, Viviana; Torres, Claudio; Coddou, Claudio; Nelson, Pablo; Maisey, Kevin; Morales, Bernardo; Fernandez, Ricardo; Imarai, Monica; Huidobro-Toro, Juan Pablo; Sierra, Felipe; Acuna-Castillo, Claudio</t>
  </si>
  <si>
    <t>The release of sympathetic neurotransmitters is impaired in aged rats after an inflammatory stimulus: A possible link between cytokine production and sympathetic transmission</t>
  </si>
  <si>
    <t>MECHANISMS OF AGEING AND DEVELOPMENT</t>
  </si>
  <si>
    <t>Aging results in a general decline in the response to external insults, including acute inflammatory challenges. In young animals, the inflammatory response requires activation of the sympathetic system, including neurotransmitters Such as ATP, and catecholamines (epinephrine and norepinephrine). To test whether aging affects activation of this axis, and whether this in turn might affect cytokine release, we administered lipopolysaccharide (LPS) i.p. to adult, middle-aged and aged Fisher 344 rats (6-, 15- and 23-month old, respectively) and evaluated the early (0-12 h) serum levels of Neuropeptide-Y (NP-Y), ATP and vanillyl mandelic acid (VMA, as in indirect measurement of catecholamine levels). In addition, we evaluated the association between these factors and serum levels of the cytokines tumor necrosis factor-alpha (TNF alpha) and interleukin-10 (IL-10). Induction of both ATP and NP-Y was markedly reduced in the serum of aged animals, when compared to their younger Counterparts, while induction of VMA was not affected by age. in spite of these changes, serum levels of TNF alpha and IL-10 were strongly hyper induced and delayed in aged rats. The results suggest that during aging there is a dys-regulation in sympathetic neurotransmitter regulatory Mechanisms, and this might play a role in the impairment of the inflammatory response. (C) 2008 Elsevier Ireland Ltd. All rights reserved.</t>
  </si>
  <si>
    <t>Morales Castañeda, Bernardo/GPP-1642-2022; Maisey, Kevin/AAP-2886-2021; Acuña-Castillo, Claudio/AAI-7090-2021; Fernandez, Ricardo/H-3422-2018</t>
  </si>
  <si>
    <t>Fernandez, Ricardo/0000-0003-4493-9362; Nelson Hunt, Pablo/0009-0005-0704-4334; Maisey, Kevin/0000-0002-7423-6329; Acuna-Castillo, Claudio/0000-0003-3607-6077; Coddou, Claudio/0000-0002-5297-3694; Imarai, Monica/0000-0001-8767-9180</t>
  </si>
  <si>
    <t>0047-6374</t>
  </si>
  <si>
    <t>10.1016/j.mad.2008.09.018</t>
  </si>
  <si>
    <t>WOS:000262809200006</t>
  </si>
  <si>
    <t>Perez-Toro, PA; Klumpp, P; Hernandez, A; Arias-Vergara, T; Lillo, P; Slachevsky, A; García, AM; Schuster, M; Maier, AK; Nöth, E; Orozco-Arroyave, JR</t>
  </si>
  <si>
    <t>Int Speech Commun Assoc</t>
  </si>
  <si>
    <t>Perez-Toro, P. A.; Klumpp, P.; Hernandez, A.; Arias-Vergara, T.; Lillo, P.; Slachevsky, A.; Garcia, A. M.; Schuster, M.; Maier, A. K.; Noeth, E.; Orozco-Arroyave, J. R.</t>
  </si>
  <si>
    <t>Alzheimer's Detection from English to Spanish Using Acoustic and Linguistic Embeddings</t>
  </si>
  <si>
    <t>INTERSPEECH 2022</t>
  </si>
  <si>
    <t>Interspeech</t>
  </si>
  <si>
    <t>Interspeech Conference</t>
  </si>
  <si>
    <t>SEP 18-22, 2022</t>
  </si>
  <si>
    <t>Incheon, SOUTH KOREA</t>
  </si>
  <si>
    <t>Cross-lingual approaches are growing in popularity in the machine learning domain, where large amounts of data are required to obtain better generalizations. Moreover, one of the biggest problems is the availability of clinical speech data, where most of the resources are in English. For instance, not many available Alzheimer's Disease (AD) corpora in different languages can be found in the literature. Despite the phonological and phonemic differences between Spanish and English, fortunately, there are also similarities between these two languages, e.g., around 40% of all words in English have a related word in Spanish. In this work, we want to investigate the feasibility of combining information from English and Spanish languages to discriminate AD. Two datasets were considered: part of the Pitt Corpus, which is composed of English speakers, and a Spanish AD dataset composed of speakers from Chile. We based our analysis on known acoustic (Wav2Vec) and word (BERT, RoBERTa) embeddings using different classifiers. Strong language dependencies were found, even using multilingual representations. We observed that linguistic information was more important for classifying English AD (F-Score=0.76) and acoustic for Spanish AD (F-Score=0.80). Using knowledge transferred from English to Spanish achieved F-scores of up to 0.85 for discriminating AD.</t>
  </si>
  <si>
    <t>Perez-Toro, Paula/AAN-3834-2021; Schuster, Mirko/AAP-3036-2021; García, Adolfo/E-7150-2017; Arias-Vergara, Tomas/GPX-0903-2022</t>
  </si>
  <si>
    <t>PEREZ TORO, PAULA ANDREA/0000-0002-2727-2116; Arias-Vergara, Tomas/0000-0001-9405-4154; Orozco-Arroyave, Juan Rafael/0000-0002-8507-0782</t>
  </si>
  <si>
    <t>2308-457X</t>
  </si>
  <si>
    <t>10.21437/Interspeech.2022-10883</t>
  </si>
  <si>
    <t>WOS:000900724502132</t>
  </si>
  <si>
    <t>Durán, S; Sánchez, H; Valladares, M; López, A; Valdés, P; Herrera, T</t>
  </si>
  <si>
    <t>Duran, Samuel; Sanchez, Hugo; Valladares, Macarena; Lopez, Antonio; Valdes, Pablo; Herrera, Tomas</t>
  </si>
  <si>
    <t>Comments to the article: Physical activity and profile of lifestyles promoting health in older Chilean adults Reply</t>
  </si>
  <si>
    <t>Agüero, Samuel/AAZ-6140-2020; HERRERA, TOMAS/AAH-3739-2019</t>
  </si>
  <si>
    <t>WOS:000447908500022</t>
  </si>
  <si>
    <t>Flewett, S; Mishra, D; Mori, TJA; Günther, CM; Denardin, JC; Oyarzún, S; Michea, S; Engel, D; Fohler, M; Rocha, TCR; Ovalle, A; Núñez, LT; Pfau, B; Escrig, J; Eisebitt, S</t>
  </si>
  <si>
    <t>Flewett, Samuel; Mishra, Durgamadhab; Mori, Thiago J. A.; Guenther, Christian M.; Denardin, Juliano C.; Oyarzun, Simon; Michea, Sebastian; Engel, Dieter; Fohler, Manuel; Rocha, Tulio C. R.; Ovalle F, Alexandra; Nunez A, Leandro T.; Pfau, Bastian; Escrig, Juan; Eisebitt, Stefan</t>
  </si>
  <si>
    <t>Three-dimensional characterization of Co/Pd multilayer thin films using resonant soft x-ray scattering</t>
  </si>
  <si>
    <t>In this work, we take a step toward nanometer resolution magnetic tomography, demonstrating the use of resonant magnetic x-ray scattering for three-dimensional (3D) characterization of Co/Pd multilayers. Trading coherence for x-ray flux, we measured magnetic scattering out to full period resolutions of 20 nm for incidence angles up to 75 degrees. from normal incidence, which was sufficient for a semiquantitative analysis of the 3D magnetic domain structure of such films. For the analysis of such patterns, we developed a scattering model based upon multiple plane propagation of the beam through the sample, taking into account the effects of multiple scattering not accounted for with Born or Rytov approximation based models. Our results demonstrate that 3D statistical characterization of nanoscale magnetic features is currently possible, and it is expected that the advent of high brilliance sources such as MAX IV in Sweden and SIRIUS in Brazil will provide the coherent flux necessary to permit the generalization of this work to nanometer resolution magnetic tomography.</t>
  </si>
  <si>
    <t>Denardin, Juliano/S-6407-2019; Engel, Dieter/B-3207-2012; Michea, Sebastian/E-9043-2017; Rocha, Tulio/K-2620-2012; Flewett, Samuel/S-7642-2019; Escrig, Juan/N-4304-2015; Pfau, Bastian/B-4953-2014; Oyarzun, Simon/M-1769-2014; Mori, Thiago/G-9210-2014</t>
  </si>
  <si>
    <t>Escrig, Juan/0000-0002-3958-8185; Pfau, Bastian/0000-0001-9057-0346; Costa Rizuti da Rocha, Tulio/0000-0001-5770-8366; Michea, Sebastian/0000-0001-9312-5766; Oyarzun, Simon/0000-0002-8764-7944; Denardin, Juliano/0000-0002-1373-6207; Mori, Thiago/0000-0001-5340-3282; Eisebitt, Stefan/0000-0001-7608-5061</t>
  </si>
  <si>
    <t>MAR 29</t>
  </si>
  <si>
    <t>10.1103/PhysRevB.95.094430</t>
  </si>
  <si>
    <t>WOS:000399139600001</t>
  </si>
  <si>
    <t>Marin, AV; Aguirre, MJ; Muena, JP; Dehaen, W; Maes, W; Ngo, TH; Ramírez, G; Arévalo, MC</t>
  </si>
  <si>
    <t>Marin, A., V; Aguirre, M. J.; Muena, J. P.; Dehaen, W.; Maes, W.; Ngo, Thien H.; Ramirez, G.; Arevalo, M. C.</t>
  </si>
  <si>
    <t>Electro-reduction of Oxygen to Water Mediated by Stable Glassy Carbon Electrodes Modified by Co(II)-porphyrins with Voluminous Meso-Substituent</t>
  </si>
  <si>
    <t>INTERNATIONAL JOURNAL OF ELECTROCHEMICAL SCIENCE</t>
  </si>
  <si>
    <t>Glassy carbon electrodes were modified by physisorption of two different Co(II)-porphyrins, specifically designed and synthesized to study the effect of the substitution pattern (and the resulting steric hindrance) on the electrocatalytic behavior for a characteristic inner-sphere reaction such as the reduction of oxygen. In spite of the change in morphology caused by a change in the relative positions of the meso substituents, they showed practically the same behavior toward the electro-reduction of O-2. In both cases, water was obtained as the main product. The modified electrodes were also active toward the electro-reduction of hydrogen peroxide. Both electrodes were found stable for more than a month upon exposure to air and the current for the electro-reduction remained practically the same.</t>
  </si>
  <si>
    <t>Aguirre, Maria/A-3935-2013; Maes, Wouter/A-7575-2009; Ngo, Huynh/M-5901-2013; Arévalo, M./AAY-1729-2020</t>
  </si>
  <si>
    <t>Arevalo, M. Carmen/0000-0003-4629-1643; Aguirre, Maria/0000-0003-1134-4469; Maes, Wouter/0000-0001-7883-3393; Ramirez, Galo/0000-0002-6217-4730</t>
  </si>
  <si>
    <t>1452-3981</t>
  </si>
  <si>
    <t>WOS:000354782200022</t>
  </si>
  <si>
    <t>Restituito, S; Couve, A; Bawagan, H; Jourdain, S; Pangalos, MN; Calver, AR; Freeman, KB; Moss, SJ</t>
  </si>
  <si>
    <t>Multiple motifs regulate the trafficking of GABAB receptors at distinct checkpoints within the secretory pathway</t>
  </si>
  <si>
    <t>MOLECULAR AND CELLULAR NEUROSCIENCE</t>
  </si>
  <si>
    <t>gamma-Aminobutyric acid type B receptors (GABA(B)) are G-protein-coupled receptors that, mediate GABAergic inhibition in the brain. Their functional expression is dependent upon the formation of heterodimers between GABA(B)R1 and GABA(B)R2 subunits, a process that occurs within the endoplasmic reticulum (ER). However, the mechanisms that regulate receptor surface expression remain largely unknown. Here, we demonstrate that access to the cell surface for GABA(B)R1 is sequentially controlled by an RSR(R) motif and a LL motif within its cytoplasmic domain. In addition, we reveal that msec7-1, a guanine-nucleotide-exchange factor (GEF) for the ADP-ribosylation factor (ARF) family of GTPases, critical regulators of vesicular membrane trafficking, interacts with GABA(B)R1 via the LL motif in this subunit. Finally, we establish that msec7-1 modulates the cell surface expression of GABA(B) receptors, a process that is dependent upon the integrity of the LL motif in GABA(B)R1. Together, our results demonstrate that the cell surface expression of the GABA(B)R1 subunit is regulated by multiple motifs, which act at distinct checkpoints in the secretory pathway, and also suggest a novel role for msec7-1 in regulating the membrane trafficking of GABA(B)R1 subunits. (c) 2004 Elsevier Inc. All rights reserved.</t>
  </si>
  <si>
    <t>couve, andres/I-2249-2013</t>
  </si>
  <si>
    <t>Restituito, Sophie/0009-0002-0610-8082</t>
  </si>
  <si>
    <t>1044-7431</t>
  </si>
  <si>
    <t>1095-9327</t>
  </si>
  <si>
    <t>10.1016/j.mcn.2004.12.006</t>
  </si>
  <si>
    <t>WOS:000228352200014</t>
  </si>
  <si>
    <t>Gómez-Arizaga, MP; Navarro, M; Martin, A; Conejeros-Solar, ML; Valdivia-Lefort, M; Bravo-Rojas, C; Silva, CN</t>
  </si>
  <si>
    <t>Gomez-Arizaga, Maria P.; Navarro, Marianela; Martin, Annjeanette; Conejeros-Solar, Maria Leonor; Valdivia-Lefort, Marieta; Bravo-Rojas, Carla; Silva, Camila Navarrete</t>
  </si>
  <si>
    <t>Mapping the Trajectories of Women in Astronomy: Influences and Milestones in Talent Development</t>
  </si>
  <si>
    <t>GIFTED CHILD QUARTERLY</t>
  </si>
  <si>
    <t>Astronomy is critical for human development, driving technology and innovation, and creating knowledge that allows humanity to understand the universe more fully. Women, however, remain underrepresented in this field. Many women leave the field before becoming established, yet little is known about women who persist and succeed. The purpose of this study was to explore the abilities, experiences, milestones, and individuals that have contributed to women's talent development along their trajectories in astronomy, in the specific case of Chile. In-depth interviews were conducted with five talented women in astronomy, who have developed their academic and professional careers in Chile. The results show that micro, meso, and macro levels of influence, in conjunction with different time periods, were critical for the participants' trajectories and have impacted the direction of women's paths. The astronomers highlight early experiences, mentor support, validation, and gendered experiences as they navigate their own insecurities and develop self-confidence. Implications for the study of talent development in female astronomers are discussed.</t>
  </si>
  <si>
    <t>Navarrete, Camila/LJK-7033-2024; Conejeros-Solar, María/F-8980-2016</t>
  </si>
  <si>
    <t>Bravo-Rojas, Carla/0000-0002-3660-9681; Valdivia-Lefort, Marieta/0000-0002-3521-1487; Martin, Annjeanette/0000-0003-3083-5319; Navarro, Marianela/0000-0002-6136-8365; Navarrete, Camila/0000-0002-4777-9934</t>
  </si>
  <si>
    <t>0016-9862</t>
  </si>
  <si>
    <t>1934-9041</t>
  </si>
  <si>
    <t>10.1177/00169862241307668</t>
  </si>
  <si>
    <t>WOS:001399241900001</t>
  </si>
  <si>
    <t>Flores, N; Rivillas-Acevedo, L; Caballero, J; Melo, F; Caballero, L; Areche, C; Fuentealba, D; Aguilar, F; Cornejo, A</t>
  </si>
  <si>
    <t>Flores, Nicolas; Rivillas-Acevedo, Lina; Caballero, Julio; Melo, Francisco; Caballero, Leonardo; Areche, Carlos; Fuentealba, Denis; Aguilar, Felipe; Cornejo, Alberto</t>
  </si>
  <si>
    <t>Rosmarinic acid turned α-syn oligomers into non-toxic species preserving microtubules in Raw 264.7 cells</t>
  </si>
  <si>
    <t>Parkinson's disease (PD) is the second most prevalent neurodegenerative disorder worldwide, and the therapeutic is focused on several approaches including the inhibition of fibril formation by small compounds, avoiding the formation of cytotoxic oligomers. Thus, we decided to explore the capacity of compounds carrying catechol moieties to inhibit the progression of alpha-synuclein. Overall, the compounds rosmarinic acid (1), carnosic acid (2), carnosol (3), epiisorosmanol (4), and rosmanol (5) avoid the progression of fibril formation assessed by Thiofavine T (ThT), and atomic force microscopy images showed that morphology is influenced for the actions of compounds over fibrillization. Moreover, ITC experiments showed a Kd d varying from 28 to 51 mu M, the Delta G showed that the reaction between compounds and alpha-syn is spontaneous, and Delta H is associated with an exothermic reaction, suggesting the interactions of hydrogen bonds among compounds and alpha-syn. Docking experiments reinforce this idea showing the intermolecular interactions are mostly hydrogen bonding within the sites 2, 9, and 3/13 of alpha-synuclein, and compounds 1 and 5. Thus, compound 1, rosmarinic acid, interestingly interacts better with site 9 through catechol and Lysines. In cultured Raw 264. 7 cells, the presence of compounds showed that most of them can promote cell differentiation, especially rosmarinic acid, and rosmanol, both preserving tubulin cytoskeleton. However, once we evaluated whether or not the aggregates pre-treated with compounds could prevent the disruption of microtubules of Raw 264.7 cells, only pre-treated aggregates with rosmarinic acid prevented the disruption of the cytoskeleton. Altogether, we showed that especially rosmarinic acid not only inhibits alpha-syn but stabilizes the remaining aggregates turning them into not-toxic to Raw 264.7 cells suggesting a main role in cell survival and antigen processing in response to external alpha-syn aggregates.</t>
  </si>
  <si>
    <t>Cornejo, Alberto/AAE-7978-2022; Areche, Carlos/I-2461-2013; Fuentealba, Denis/R-9880-2016; Melo, Francisco/M-3923-2014; Caballero, Julio/G-3654-2014</t>
  </si>
  <si>
    <t>Caballero, Julio/0000-0003-0182-1444</t>
  </si>
  <si>
    <t>10.1016/j.bioorg.2024.107669</t>
  </si>
  <si>
    <t>WOS:001281861500001</t>
  </si>
  <si>
    <t>Montero, C; Ramírez, CG; Muñoz, L; Sancy, M; Azócar, M; Flores, M; Artigas, A; Zagal, JH; Zhou, XR; Monsalve, A; Páez, M</t>
  </si>
  <si>
    <t>Montero, Cecilia; Ramirez, Cristian Gino; Munoz, Lisa; Sancy, Mamie; Azocar, Manuel; Flores, Marcos; Artigas, Alfredo; Zagal, Jose H.; Zhou, Xiaorong; Monsalve, Alberto; Paez, Maritza</t>
  </si>
  <si>
    <t>Effect of Plasma Argon Pretreatment on the Surface Properties of AZ31 Magnesium Alloy</t>
  </si>
  <si>
    <t>Climate change has evidenced the need to reduce carbon dioxide emissions into the atmosphere, and so for transport applications, lighter weight alloys have been studied, such as magnesium alloys. However, they are susceptible to corrosion; therefore, surface treatments have been extensively studied. In this work, the influence of argon plasma pretreatment on the surface properties of an AZ31 magnesium alloy focus on the enhancement of the reactivity of the surface, which was examined by surface analysis techniques, electrochemical techniques, and gravimetric measurements. The samples were polished and exposed to argon plasma for two minutes in order to activate the surface. Contact angle measurements revealed higher surface energy after applying the pretreatment, and atomic force microscopy showed a roughness increase, while X-Ray photoelectron spectroscopy showed a chemical change on the surface, where after pretreatment the oxygen species increased. Electrochemical measurements showed that surface pretreatment does not affect the corrosion mechanism of the alloy, while electrochemical impedance spectroscopy reveals an increase in the original thickness of the surface film. This increase is likely associated with the high reactivity that the plasma pretreatment confers to the surface of the AZ31 alloy, affecting the extent of oxide formation and, consequently, the increase in its protection capacity. The weight loss measurements support the effect of the plasma pretreatment on the oxide thickness since the corrosion rate of the pretreated AZ31 specimens was lower than that of those that did not receive the surface pretreatment.</t>
  </si>
  <si>
    <t>Montero, M. Cecilia/LOU-0529-2024; Azocar, Manuel/I-1226-2013; Paez, Maritza/M-2010-2014; Artigas, Alfredo/Y-1185-2019; zagal, jose/L-9648-2014; Sancy, Mamie/L-6270-2014; Zhou, Xiaorong/M-3600-2014; Flores Carrasco, Marcos/E-8058-2012</t>
  </si>
  <si>
    <t>Sancy, Mamie/0000-0001-9523-2629; Montero, M. Cecilia/0000-0002-9089-8373; Ramirez Farina, Cristian Gino/0000-0001-8548-2448; Monsalve, Alberto/0000-0002-5772-8815; Zhou, Xiaorong/0000-0001-9943-3997; Flores Carrasco, Marcos/0000-0002-9766-2830; Azocar Guzman, Manuel/0000-0003-1098-4659; munoz, lisa/0000-0002-4588-2620; paez, maritza/0000-0001-5881-884X</t>
  </si>
  <si>
    <t>10.3390/ma16062327</t>
  </si>
  <si>
    <t>WOS:000959937700001</t>
  </si>
  <si>
    <t>Marques, A; Cerdeira, M; Veiga, D; Gouveia, ÉR; Ferrari, G; Peralta, M; Ihle, A</t>
  </si>
  <si>
    <t>Marques, Adilson; Cerdeira, Mariana; Veiga, Diogo; Gouveia, Elvio R.; Ferrari, Gerson; Peralta, Miguel; Ihle, Andrea</t>
  </si>
  <si>
    <t>Physical activity trajectories and quality of life in older adults</t>
  </si>
  <si>
    <t>HUMAN MOVEMENT</t>
  </si>
  <si>
    <t>Purpose. Physical activity (PA) is associated with a better quality of life and well-being in older adults. Examining PA trajectories, especially increasing habitual PA habits, makes it possible to better understand how PA behavioural changes may impact health and quality of life. This study aimed to analyse the longitudinal association between 2-year PA trajectories (changes in intensity and frequency) and quality of life. Methods. Participants were 6.057 older adults aged 50 years (2,331 men) from 13 European countries. Regression models were performed to analyse the effects of PA trajectories on older adults' quality of life. Results. Men and women who engaged in more PA had significantly higher quality of life scores than those with lower PA levels. At follow-up, those who increased PA frequency to more than once a week, at both moderate and vigorous intensity, had a greater quality of life score (men's moderate PA: = 1.13, beta &lt; 0.001; men's vigorous PA: = 1.93, beta &lt; 0.001; women's moderate PA: = 1.77, beta&lt; 0.001; women's vigorous PA: = 1.72, beta &lt; 0.001). Conclusions. Increasing the frequency of moderate and vigorous intensity PA is associated with a better quality of life in older adults. Even in later life, changes in lifestyle components, such as PA, can significantly increase the quality of life. Thus, public health should encourage promoting PA as an effective strategy to improve healthy ageing and hinder vulnerability in older ages.</t>
  </si>
  <si>
    <t>Gouveia, Elvio/F-9156-2015; Ferrari, Gerson/HHM-6173-2022; Marques, Adilson/K-4529-2014; Peralta, Miguel/H-1666-2017</t>
  </si>
  <si>
    <t>Peralta, Miguel/0000-0001-6072-6012; Veiga, Diogo/0000-0002-9638-8702; Ihle, Andreas/0000-0001-9845-5190</t>
  </si>
  <si>
    <t>1732-3991</t>
  </si>
  <si>
    <t>1899-1955</t>
  </si>
  <si>
    <t>10.5114/hm.2023.132708</t>
  </si>
  <si>
    <t>WOS:001207901400002</t>
  </si>
  <si>
    <t>Quintans, CS; Andrienko, D; Domke, KF; Aravena, D; Koo, S; Díez-Pérez, I; Aragonès, AC</t>
  </si>
  <si>
    <t>Quintans, C. S.; Andrienko, Denis; Domke, Katrin F.; Aravena, Daniel; Koo, Sangho; Diez-Perez, Ismael; Aragones, Albert C.</t>
  </si>
  <si>
    <t>Tuning Single-Molecule Conductance by Controlled Electric Field-Induced trans-to-cis Isomerisation</t>
  </si>
  <si>
    <t>External electric fields (EEFs) have proven to be very efficient in catalysing chemical reactions, even those inaccessible via wet-chemical synthesis. At the single-molecule level, oriented EEFs have been successfully used to promote in situ single-molecule reactions in the absence of chemical catalysts. Here, we elucidate the effect of an EEFs on the structure and conductance of a molecular junction. Employing scanning tunnelling microscopy break junction (STM-BJ) experiments, we form and electrically characterize single-molecule junctions of two tetramethyl carotene isomers. Two discrete conductance signatures show up more prominently at low and high applied voltages which are univocally ascribed to the trans and cis isomers of the carotenoid, respectively. The difference in conductance between both cis-/trans- isomers is in concordance with previous predictions considering pi-quantum interference due to the presence of a single gauche defect in the trans isomer. Electronic structure calculations suggest that the electric field polarizes the molecule and mixes the excited states. The mixed states have a (spectroscopically) allowed transition and, therefore, can both promote the cis-isomerization of the molecule and participate in electron transport. Our work opens new routes for the in situ control of isomerisation reactions in single-molecule contacts.</t>
  </si>
  <si>
    <t>Domke, Katrin/B-1096-2013; Aravena, Daniel/F-2174-2011; Koo, Sangho/AAR-4354-2020; Diez-Perez, Ismael/F-6402-2014; Andrienko, Denis/B-7721-2008; Quintans, Ciro/R-6783-2017; Aragones, Albert C/P-8182-2018</t>
  </si>
  <si>
    <t>Koo, Sangho/0000-0003-4725-1117; Diez-Perez, Ismael/0000-0003-0513-8888; Andrienko, Denis/0000-0002-1541-1377; Quintans, Ciro/0000-0003-0874-7187; Aragones, Albert C/0000-0002-1829-6941</t>
  </si>
  <si>
    <t>10.3390/app11083317</t>
  </si>
  <si>
    <t>WOS:000644026100001</t>
  </si>
  <si>
    <t>Kramer, V; Juri, C; Riss, PJ; Pruzzo, R; Soza-Ried, C; Flores, J; Hurtado, A; Rösch, F; Chana-Cuevas, P; Amaral, H</t>
  </si>
  <si>
    <t>Kramer, Vasko; Juri, Carlos; Riss, Patrick J.; Pruzzo, Rossana; Soza-Ried, Cristian; Flores, Jonathan; Hurtado, Ana; Roesch, Frank; Chana-Cuevas, Pedro; Amaral, Horacio</t>
  </si>
  <si>
    <t>Pharmacokinetic evaluation of [18F]PR04.MZ for PET/CT imaging and quantification of dopamine transporters in the human brain</t>
  </si>
  <si>
    <t>EUROPEAN JOURNAL OF NUCLEAR MEDICINE AND MOLECULAR IMAGING</t>
  </si>
  <si>
    <t>Purpose Dopamine transporters (DAT) modulate pre-synaptic dopamine and physiological functions such as movement and reward. DAT also mirrors disease state in neurological disorders, rendering it an essential diagnostic target. [F-18]PR04.MZ is a new PET imaging agent for DAT with an improved affinity and selectivity profile, for which we here describe the complete pharmacokinetic evaluation in healthy controls. Methods Thirty-two healthy subjects underwent T1-weighted MRI and dynamic PET scans for 180 min with arterial blood sampling (n = 5) or 90 min without blood sampling (n = 25) after injection of 197.6 +/- 12.2 MBq [F-18]PR04.MZ. Blood and plasma metabolite analysis were performed. MRI-based normalization of brain images, delineation of VOIs, and kinetic modeling was conducted to determine distribution volumes (V-t) and binding potentials (BPnd). The impact of scan duration was evaluated and repeated PET scans were performed to assess test-retest variability (n = 5). A static imaging protocol has been validated for clinical applications. Results [F-18]PR04.MZ showed rapid metabolization in circulation, very high uptake in striatum and midbrain, and very low non-specific binding. The two-tissue compartment model 2TCM provided best fits for measured time-activity-curves and calculated V(t)s in putamen, caudate, substantia nigra pars compacta (SNpc), and cerebellar cortex were 11.83, 9.73, 2.12, and 0.57, respectively. All non-invasive models correlated well with BPnd values derived from 2TCM but underestimated DAT availability by about 28-33%. Of those, simplified reference tissue model (SRTM) provided the best fits, lowest Akaike Information Criteria values, and BPnd values of 14.82, 11.95, and 2.63 in putamen, caudate, and SNpc, respectively. BPnd estimates for striatal regions and SNpc were stable between 90 and 130 min post-injection. Test-retest results were excellent, showing low variability in all and excellent reliability in most relevant regions. Static imaging from 60 to 90-min post-injection is a viable alternative for quantification. Conclusions [F-18]PR04.MZ is a PET tracer with very high affinity, selectivity, and specific uptake in striatum and midbrain. 2TCM and SRTM provide good fits, high and stable V(t)s or BP(nd)s, and good test-retest reliability for precise quantification of DAT in human subjects.</t>
  </si>
  <si>
    <t>López, Ana/AAB-3412-2020; Juri, Carlos/B-6213-2008; Chana-Cuevas, Pedro/AAM-8215-2020; Roesch, Frank/AAU-9403-2020</t>
  </si>
  <si>
    <t>1619-7070</t>
  </si>
  <si>
    <t>1619-7089</t>
  </si>
  <si>
    <t>10.1007/s00259-019-04594-z</t>
  </si>
  <si>
    <t>DEC 2019</t>
  </si>
  <si>
    <t>WOS:000501498000001</t>
  </si>
  <si>
    <t>Venegas-Yazigi, D; Brown, KA; Vega, A; Calvo, R; Aliaga, C; Santana, RC; Cardoso-Gil, R; Kniep, R; Schnelle, W; Spodine, E</t>
  </si>
  <si>
    <t>Venegas-Yazigi, Diego; Brown, Kareen A.; Vega, Andres; Calvo, Rafael; Aliaga, Carolina; Santana, Ricardo C.; Cardoso-Gil, Raul; Kniep, Ruediger; Schnelle, Walter; Spodine, Evgenia</t>
  </si>
  <si>
    <t>Exchange Interactions Through π-π Stacking in the Lamellar Compound [{Cu(bipy)(en)}{Cu(bipy)(H2O)}{VO3}4]n</t>
  </si>
  <si>
    <t>Structural, magnetic, and powder and single-crystal electron paramagnetic resonance (EPR) studies were performed on [{Cu(bipy)(en)}{Cu(bipy)(H2O)}{VO3}(4)](n) (bipy = 2,2'-bipyridine, en = ethylenediamine), which is a new copper-vanadium hybrid organic-inorganic compound containing Cu-II and V-V centers. The oxovanadium units provide an anionic scaffolding to the structure, where two types of Cu-II coordination modes, octahedral (Cu1) and square pyramidal (Cu2), contribute to the magnetic properties. The crystal structure contains layers including Cu1 and Cu2 ions, separated by stacked arrangements of 2,2'-bipyridine molecules. Each type of Cu-II ion in these layers forms parallel spin chains described by exchange coupling parameters J(1) and J(2) for Cu1 and Cu2, respectively (exchange couplings defined as H-ex(i, j) = -J(ij) SiSj), which, for necessity, are assumed to be equal to J. These chains are coupled by much weaker Cu1-Cu2 exchange interactions J(3) connecting neighbor Cu1 and Cu2 ions within a layer, through paths acting as rungs of a ladder chain structure. The average coupling J, which is antiferromagnetic (J &lt; 0), according to the susceptibility data, is estimated with similar results with a mean field approximation (J = -1.4 cm(-1)), and with a uniform chain model (J = 1.7 cm(-1)). The EPR spectra of powdered samples and oriented single crystals are shown to be independent of J(1) and J(2), but are dependent on the weak coupling J(3), and the data allow a lower limit to be established: vertical bar J(3)vertical bar &gt; 0.04 cm(-1). The spectra are also strongly sensitive to extremely weak coupling interactions with average magnitude J(4) between copper atoms in neighboring layers, separated by similar to 10 angstrom, using the stacked 2,2'-bipyridine molecules, which produce a 2D-to-3D quantum phase transition. This is observed in single-crystal samples when the energy levels are changed with the orientation of the magnetic field. From the characteristics of these transitions, we estimate a value of vertical bar J(4)vertical bar = 0.0034 +/- 0.0004 cm(-1) between Cu-II ions in neighboring layers. This work emphasizes the important possibilities of EPR to evaluate extremely small exchange couplings between metal ions in a solid material, even in the presence of other much larger couplings.</t>
  </si>
  <si>
    <t>Vega, Andres/B-2122-2010; Santana, Ricardo/AAG-5736-2019; brown, kareen/A-2558-2013; Venegas-Yazigi, Diego/C-5022-2009; Calvo, Rafael/B-3419-2009; Aliaga, Carolina/G-6024-2019; Santana, Ricardo/H-1579-2012</t>
  </si>
  <si>
    <t>Venegas-Yazigi, Diego/0000-0001-7816-2841; Calvo, Rafael/0000-0003-2864-0467; Aliaga, Carolina/0000-0002-1352-3164; Kniep, Rudiger/0000-0003-0679-5468; Schnelle, Walter/0009-0007-0136-7268; Vega, Andres/0000-0001-6501-4161; Santana, Ricardo/0000-0002-6484-7484</t>
  </si>
  <si>
    <t>NOV 21</t>
  </si>
  <si>
    <t>10.1021/ic201278a</t>
  </si>
  <si>
    <t>WOS:000296830400027</t>
  </si>
  <si>
    <t>Karneyeva, K; Kolesnik, M; Livenskyi, A; Zgoda, V; Zubarev, V; Trofimova, A; Artamonova, D; Ispolatov, Y; Severinov, K</t>
  </si>
  <si>
    <t>Karneyeva, Karyna; Kolesnik, Matvey; Livenskyi, Alexei; Zgoda, Viktor; Zubarev, Vasiliy; Trofimova, Anna; Artamonova, Daria; Ispolatov, Yaroslav; Severinov, Konstantin</t>
  </si>
  <si>
    <t>Interference Requirements of Type III CRISPR-Cas Systems from Thermus thermophilus</t>
  </si>
  <si>
    <t>JOURNAL OF MOLECULAR BIOLOGY</t>
  </si>
  <si>
    <t>Among the diverse prokaryotic adaptive immunity mechanisms, the Type III CRISPR-Cas systems are the most complex. The multisubunit Type III effectors recognize RNA targets complementary to CRISPR RNAs (crRNAs). Target recognition causes synthesis of cyclic oligoadenylates that activate downstream auxiliary effectors, which affect cell physiology in complex and poorly understood ways. Here, we studied the ability of III-A and III-B CRISPR-Cas subtypes from Thermus thermophilus to interfere with plasmid transformation. We find that for both systems, requirements for crRNA-target complementarity sufficient for interference depend on the target transcript abundance, with more abundant targets requiring shorter complementarity segments. This result and thermodynamic calculations indicate that Type III effectors bind their targets in a simple bimolecular reaction with more extensive crRNA-target base pairing compensating for lower target abundance. Since the targeted RNA used in our work is non -essential for either the host or the plasmid, the results also establish that a certain number of target-bound effector complexes must be present in the cell to interfere with plasmid establishment. For the more active III-A system, we determine the minimal length of RNA-duplex sufficient for interference and show that the position of this minimal duplex can vary within the effector. Finally, we show that the III-A immunity is dependent on the HD nuclease domain of the Cas10 subunit. Since this domain is absent from the III-B system the result implies that the T. thermophilus III-B system must elicit a more efficient cyclic oligoadenylatedependent response to provide the immunity. Published by Elsevier Ltd. This is an open access article under the CC BY license (http://creativecommons.org/licenses/by/ 4.0/).</t>
  </si>
  <si>
    <t>Trofimova, Anna/JVO-8738-2024; Severinov, Konstantin/C-8545-2016; Zubarev, Vasiliy/MEQ-1841-2025; Kolesnik, Matvei/AAU-8989-2021; Livenskyi, Alexei/LRU-9629-2024; Ispolatov, Iaroslav/E-8544-2010</t>
  </si>
  <si>
    <t>Kolesnik, Matvei/0000-0002-7997-657X; Ispolatov, Iaroslav/0000-0002-0201-3396; Zubarev, Vasiliy/0009-0007-0204-6191</t>
  </si>
  <si>
    <t>0022-2836</t>
  </si>
  <si>
    <t>1089-8638</t>
  </si>
  <si>
    <t>MAR 15</t>
  </si>
  <si>
    <t>10.1016/j.jmb.2024.168448</t>
  </si>
  <si>
    <t>WOS:001176565000001</t>
  </si>
  <si>
    <t>Dhanalakshmi, K; Maheswaran, J; Avudaiappan, S; Amran, M; Aepuru, R; Fediuk, R; Vatin, N</t>
  </si>
  <si>
    <t>Dhanalakshmi, K.; Maheswaran, J.; Avudaiappan, Siva; Amran, Mugahed; Aepuru, Radhamanohar; Fediuk, Roman; Vatin, Nikolai</t>
  </si>
  <si>
    <t>Prediction of Pore Volume Dispersion and Microstructural Characteristics of Concrete Using Image Processing Technique</t>
  </si>
  <si>
    <t>Concrete has served an essential role in many infrastructural projects. Factors including pore percentage, pore distribution, and cracking affect concrete durability. This research aims to better understand pore size distribution in cement-based materials. Micro-computed tomography (micro-CT) pictures were utilised to characterise the interior structure of specimens without destroying them. The pore dispersion of the specimens was displayed in 3D, utilising the data and imaging techniques collected, and the pore volume dispersion was examined using a volume-based approach. Another way to describe heterogeneous pore features is the chord-length distribution, which was calculated from three-dimensional micro-CT scans and correlated with the traditional method. The collected specimens were subjected to physical and mechanical testing. In addition, image processing techniques were used to conduct the studies. The results showed that the chord-length distribution-based pore size distribution is very successful than the traditional volume-based technique. The acquired data could be used for research and to forecast the characteristics of the materials.</t>
  </si>
  <si>
    <t>Vatin, Nikolai Ivanovich/O-6995-2019; Avudaiappan, Siva/AAV-7579-2021; Jeyaprakash, Maheswaran/CAG-1683-2022; amran, mugahed/AAW-4821-2020; AEPURU, RADHAMANOHAR/AAT-4645-2020; k, d/KGM-2041-2024; Fediuk, Roman/N-6730-2017</t>
  </si>
  <si>
    <t>AVUDAIAPPAN, SIVA/0000-0002-4289-4298; J., Maheswaran/0000-0001-5175-0774; Fediuk, Roman/0000-0002-2279-1240; Vatin, Nikolai Ivanovich/0000-0002-1196-8004</t>
  </si>
  <si>
    <t>10.3390/cryst11121476</t>
  </si>
  <si>
    <t>WOS:000737119600001</t>
  </si>
  <si>
    <t>Cantero-López, P; Meza, MSP; Vergara, MK; Sotelo, DEP; Sharma, V; Zúñiga, C; Oyarzún, DP; Sánchez, J; González-González, A; Yañez, O</t>
  </si>
  <si>
    <t>Cantero-Lopez, Plinio; Paez Meza, Manuel S.; Vergara, Maria K.; Perez Sotelo, Dairo E.; Sharma, Vivek; Zuniga, Cesar; Oyarzun, Diego P.; Sanchez, Julio; Gonzalez-Gonzalez, Angelica; Yanez, Osvaldo</t>
  </si>
  <si>
    <t>Experimental and Theoretical Exploration of Volumetric Properties of Aminobutyric Acid and L-Valine in the Electrolytic Environment at T=283.15 to 318.15 K and Pressure P=0.1 MPa</t>
  </si>
  <si>
    <t>JOURNAL OF CHEMICAL AND ENGINEERING DATA</t>
  </si>
  <si>
    <t>In the present work, density (rho) calculations, molecular dynamics (MD) simulations, and quantum chemical calculations of pseudo-binary mixtures of aminobutyric acid and L-valine in aqueous solutions of sodium thiosulfate (Na2S2O3) at T = 283.15 to 318.15 K and atmospheric pressure (0.1 MPa) were performed. MD simulations reveal the formation of molecular aggregates induced by the preferential solvation in the mixture, due to the electrostatic interactions at the first layer of solvation between the charged groups of amino acids and the inorganic salt. The formation of these molecular aggregates is promoted by an increase in the salt concentration. Noncovalent interactions within the pseudo-binary mixtures were studied by the noncovalent interaction index (NCI) and IGM analysis, which well supported the experimental findings.</t>
  </si>
  <si>
    <t>Sanchez, Julio/AEO-4360-2022; Oyarzun, Diego/MTF-4062-2025</t>
  </si>
  <si>
    <t>Yanez Osses, Osvaldo Andres/0000-0001-8993-9353</t>
  </si>
  <si>
    <t>0021-9568</t>
  </si>
  <si>
    <t>1520-5134</t>
  </si>
  <si>
    <t>10.1021/acs.jced.1c00292</t>
  </si>
  <si>
    <t>WOS:000709628600004</t>
  </si>
  <si>
    <t>Kessi-Pérez, EI; Ponce, B; Li, J; Molinet, J; Baeza, C; Figueroa, D; Bastías, C; Gaete, M; Liti, G; Díaz-Barrera, A; Salinas, F; Martínez, C</t>
  </si>
  <si>
    <t>Kessi-Perez, Eduardo I.; Ponce, Belen; Li, Jing; Molinet, Jennifer; Baeza, Camila; Figueroa, David; Bastias, Camila; Gaete, Marco; Liti, Gianni; Diaz-Barrera, Alvaro; Salinas, Francisco; Martinez, Claudio</t>
  </si>
  <si>
    <t>Differential Gene Expression and Allele Frequency Changes Favour Adaptation of a Heterogeneous Yeast Population to Nitrogen-Limited Fermentations</t>
  </si>
  <si>
    <t>Alcoholic fermentation is fundamentally an adaptation process, in which the yeastSaccharomyces cerevisiaeoutperforms its competitors and takes over the fermentation process itself. Although wine yeast strains appear to be adapted to the stressful conditions of alcoholic fermentation, nitrogen limitations in grape must cause stuck or slow fermentations, generating significant economic losses for the wine industry. One way to discover the genetic bases that promote yeast adaptation to nitrogen-deficient environments are selection experiments, where a yeast population undergoes selection under conditions of nitrogen restriction for a number of generations, to then identify by sequencing the molecular characteristics that promote this adaptation. In this work, we carried out selection experiments in bioreactors imitating wine fermentation under nitrogen-limited fermentation conditions (SM60), using the heterogeneous SGRP-4X yeast population, to then sequence the transcriptome and the genome of the population at different time points of the selection process. The transcriptomic results showed an overexpression of genes from the NA strain (North American/YPS128), a wild, non-domesticated isolate. In addition, genome sequencing and allele frequency results allowed several QTLs to be mapped for adaptation to nitrogen-limited fermentation. Finally, we validated theECM38allele of NA strain as responsible for higher growth efficiency under nitrogen-limited conditions. Taken together, our results revealed a complex pattern of molecular signatures favouring adaptation of the yeast population to nitrogen-limited fermentations, including differential gene expression, allele frequency changes and loss of the mitochondrial genome. Finally, the results suggest that wild alleles from a non-domesticated isolate (NA) may have a relevant role in the adaptation to the assayed fermentation conditions, with the consequent potential of these alleles for the genetic improvement of wine yeast strains.</t>
  </si>
  <si>
    <t>Kessi, Eduardo/AAI-2566-2019; Salinas, Francisco/AAP-9439-2020; Martinez, Claudio/MGS-9961-2025; Bastìas, Camila/HTN-9054-2023; Díaz, Alvaro/A-2456-2011; Molinet, Jennifer/AAI-3636-2020; Liti, Gianni/I-9929-2014; Salinas, Francisco/W-3269-2017</t>
  </si>
  <si>
    <t>Figueroa Gonzalez, David/0009-0001-7659-2001; Salinas, Francisco/0000-0002-8391-8145; Molinet, Jennifer/0000-0001-9716-4455; Li, Jing/0000-0001-5697-9527; Kessi, Eduardo/0000-0003-4225-9486; Alvaro, Diaz-Barrera/0000-0002-0922-8648</t>
  </si>
  <si>
    <t>10.3389/fmicb.2020.01204</t>
  </si>
  <si>
    <t>WOS:000546214900001</t>
  </si>
  <si>
    <t>Senger, H; Gil-Costa, V; Arantes, L; Marcondes, CAC; Marín, M; Sato, LM; da Silva, FAB</t>
  </si>
  <si>
    <t>Senger, Hermes; Gil-Costa, Veronica; Arantes, Luciana; Marcondes, Cesar A. C.; Marin, Mauricio; Sato, Liria M.; da Silva, Fabricio A. B.</t>
  </si>
  <si>
    <t>BSP cost and scalability analysis for MapReduce operations</t>
  </si>
  <si>
    <t>Data abundance poses the need for powerful and easy-to-use tools that support processing large amounts of data. MapReduce has been increasingly adopted for over a decade by many companies, and more recently, it has attracted the attention of an increasing number of researchers in several areas. One main advantage is that the complex details of parallel processing, such as complex network programming, task scheduling, data placement, and fault tolerance, are hidden in a conceptually simple framework. MapReduce is supported by mature software technologies for deployment in data centers such as Hadoop. As MapReduce becomes popular for high-performance applications, many questions arise concerning its performance and efficiency. In this paper, we demonstrated formally lower bounds on the isoefficiency function for MapReduce applications, when these applications can be modeled as BSP jobs. We also demonstrate how communication and synchronization costs can be dominant for MapReduce computations and discuss the conditions under which such scalability limits are valid. To our knowledge, this is the first study that demonstrates scalability bounds for MapReduce applications. We also discuss how some MapReduce implementations such as Hadoop can mitigate such costs to approach linear, or near-to-linear speedups. Copyright (c) 2015 John Wiley &amp; Sons, Ltd.</t>
  </si>
  <si>
    <t>Marin, Mauricio/GLR-7700-2022; Sato, Liria/N-6800-2015; Senger, Hermes/C-8590-2012; Gil-Costa, Veronica/GPT-4785-2022; Marcondes, Cesar/M-8743-2013</t>
  </si>
  <si>
    <t>Senger, Hermes/0000-0003-1273-9809; Marcondes, Cesar/0000-0003-1574-0362; Silva, Fabricio/0000-0002-8172-5796; Arantes, Luciana/0000-0002-0938-2004; Gil-Costa, Veronica/0000-0003-4637-9725; Marin, Mauricio/0000-0003-0662-7149; Sato, Liria/0000-0002-1163-9980</t>
  </si>
  <si>
    <t>JUN 10</t>
  </si>
  <si>
    <t>10.1002/cpe.3628</t>
  </si>
  <si>
    <t>WOS:000376263300013</t>
  </si>
  <si>
    <t>Hernandez-Martinez, J; Ramirez-Campillo, R; Vera-Assaoka, T; Castillo-Cerda, M; Carter-Truillier, B; Herrera-Valenzuela, T; López-Fuenzalida, A; Nobari, H; Valdés-Badilla, P</t>
  </si>
  <si>
    <t>Hernandez-Martinez, Jordan; Ramirez-Campillo, Rodrigo; Vera-Assaoka, Tiago; Castillo-Cerda, Maria; Carter-Truillier, Bastian; Herrera-Valenzuela, Tomas; Lopez-Fuenzalida, Antonio; Nobari, Hadi; Valdes-Badilla, Pablo</t>
  </si>
  <si>
    <t>Warm-up stretching exercises and physical performance of youth soccer players</t>
  </si>
  <si>
    <t>This study aims to compare the effects of standard warm-up versus warm-up using stretching exercises on the physical performance of male youth soccer players. Eighty-five male soccer players (age: 10.3 +/- 4.3 years; body mass index: 19.8 +/- 4.3 kg/m2) were assessed for countermovement jump height (CMJ, cm), 10 m, 20 m and 30 m running sprint speed (s) and ball kicking speed (km/h) for the dominant and non-dominant leg under five (randomized) warm-up conditions. Using 72 h of recovery between conditions, the participants completed a control condition (CC) and four experimental conditions, including static stretching (SSC), dynamic stretching (DSC), ballistic stretching (BSC), and proprioceptive neuromuscular facilitation (PNFC) exercises. All warm-up conditions had a duration of 10 minutes. The main results indicate that no significant differences (p &gt; 0.05) were found between warm-up conditions compared to CC in CMJ (CC = 28.1 +/- 4.9; SSC = 28.4 +/- 4.9; DSC = 30.9 +/- 4.8; BSC = 30.9 +/- 5.2; PNFC = 28.4 +/- 5.0), 10 m sprint (CC = 2.42 +/- 0.4; SSC = 2.50 +/- 0.4; DSC = 2.30 +/- 0.3; BSC = 2.27 +/- 0.3; PNFC = 2.53 +/- 0.4), 20 m sprint (CC = 5.42 +/- 0.9; SSC = 5.59 +/- 0.9; DSC = 5.37 +/- 0.9; BSC = 5.40 +/- 0.9; PNFC = 5.44 +/- 0.9), 30 m sprint (CC = 8.05 +/- 1.3; SSC = 8.27 +/- 1.3; DSC = 8.01 +/- 1.3; BSC = 8.00 +/- 1.3; PNFC = 8.12 +/- 1.3), ball kicking speed for dominant (CC = 56.2 +/- 4.9; SSC = 55.3 +/- 5.2; DSC = 56.9 +/- 5.8; BSC = 57.3 +/- 5.8; PNFC = 55.7 +/- 5.2) and non-dominant leg (CC = 52.8 +/- 3.4; SSC = 51.8 +/- 4.6; DSC = 53.5 +/- 5.4; BSC = 53.6 +/- 4.9; PNFC = 52.5 +/- 4.0). In conclusion, compared to standard warm-up, stretching-based warm-up exerts no effect on male youth soccer players jump height, sprint speed and ball kicking speed.</t>
  </si>
  <si>
    <t>Herrera-Valenzuela, Tomas/L-1819-2019; Ramirez-Campillo, Rodrigo/M-1258-2016; Hernandez-Martinez, Jordan/AAK-5115-2020; Nobari, Hadi/AAO-9721-2021</t>
  </si>
  <si>
    <t>Ramirez-Campillo, Rodrigo/0000-0003-2035-3279; Nobari, Hadi/0000-0001-7951-8977</t>
  </si>
  <si>
    <t>FEB 15</t>
  </si>
  <si>
    <t>10.3389/fphys.2023.1127669</t>
  </si>
  <si>
    <t>WOS:000941334500001</t>
  </si>
  <si>
    <t>Valdés-Badilla, P; Alarcón-Rivera, M; Hernandez-Martinez, J; Herrera-Valenzuela, T; Branco, BHM; Núñez-Espinosa, C; Guzmán-Muñoz, E</t>
  </si>
  <si>
    <t>Valdes-Badilla, Pablo; Alarcon-Rivera, Miguel; Hernandez-Martinez, Jordan; Herrera-Valenzuela, Tomas; Magnani Branco, Braulio Henrique; Nunez-Espinosa, Cristian; Guzman-Munoz, Eduardo</t>
  </si>
  <si>
    <t>Factors Associated with Poor Health-Related Quality of Life in Physically Active Older People</t>
  </si>
  <si>
    <t>This study aimed to associate morphological variables and physical fitness with health-related quality of life (HRQoL) in physically active older people. A cross-sectional study was carried out that evaluated 470 older people (89.57% female) with a mean age of 70.13 +/- 6.57 years, residing in two regions of Chile. Morphological variables (body weight, bipedal height, waist circumference, body mass index, and waist to height ratio), physical fitness through the Senior Fitness Test protocol, and HRQoL using the SF-36 questionnaire were obtained. Logistic regression analysis was used to identify risk factors between morphological variables and physical fitness associated with HRQoL. The main results indicated that overweight (OR = 1.52; p = 0.034), a waist circumference with risk (OR = 1.56; p = 0.021), poor performance in the back scratch tests (OR = 1.02; p = 0.008) and timed up-and-go (OR = 1.19; p = 0.040) increased the probability of having a low general HRQoL. Also, the low performance of chair stand and arm curl tests was associated with poor physical and social dimensions of HRQoL (p &lt; 0.05). In conclusion, a low HRQoL in physically active older people is associated with both morphological and physical fitness factors.</t>
  </si>
  <si>
    <t>Núñez-Espinosa, Cristian/ADF-6181-2022; Branco, Braulio/AAA-1747-2019; Herrera-Valenzuela, Tomas/L-1819-2019; Hernandez-Martinez, Jordan/AAK-5115-2020; Magnani Branco, Braulio Henrique/B-8178-2017</t>
  </si>
  <si>
    <t>Magnani Branco, Braulio Henrique/0000-0002-4625-9128; Alarcon-Rivera, Miguel/0000-0001-8341-5567; Herrera-Valenzuela, Tomas/0000-0002-5219-5896; Valdes-Badilla, Pablo/0000-0002-3948-8280; Nunez Espinosa, Cristian Andres/0000-0002-9896-7062; Guzman-Munoz, Eduardo/0000-0001-7001-9004</t>
  </si>
  <si>
    <t>10.3390/ijerph192113799</t>
  </si>
  <si>
    <t>WOS:000881107200001</t>
  </si>
  <si>
    <t>Abrigo, J; Gonzalez, F; Aguirre, F; Tacchi, F; Gonzalez, A; Meza, MP; Simon, F; Cabrera, D; Arrese, M; Karpen, S; Cabello-Verrugio, C</t>
  </si>
  <si>
    <t>Abrigo, Johanna; Gonzalez, Francisco; Aguirre, Francisco; Tacchi, Franco; Gonzalez, Andrea; Paz Meza, Maria; Simon, Felipe; Cabrera, Daniel; Arrese, Marco; Karpen, Saul; Cabello-Verrugio, Claudio</t>
  </si>
  <si>
    <t>Cholic acid and deoxycholic acid induce skeletal muscle atrophy through a mechanism dependent on TGR5 receptor</t>
  </si>
  <si>
    <t>JOURNAL OF CELLULAR PHYSIOLOGY</t>
  </si>
  <si>
    <t>Skeletal muscle atrophy is characterized by the degradation of myofibrillar proteins, such as myosin heavy chain or troponin. An increase in the expression of two muscle-specific E3 ligases, atrogin-1 and MuRF-1, and oxidative stress are involved in muscle atrophy. Patients with chronic liver diseases (CLD) develop muscle wasting. Several bile acids increase in plasma during cholestatic CLD, among them, cholic acid (CA) and deoxycholic acid (DCA). The receptor for bile acids, TGR5, is expressed in healthy skeletal muscles. TGR5 is involved in the regulation of muscle differentiation and metabolic changes. In this paper, we evaluated the participation of DCA and CA in the generation of an atrophic condition in myotubes and isolated fibers from the muscle extracted from wild-type (WT) and TGR5-deficient (TGR5(-/-)) male mice. The results show that DCA and CA induce a decrease in diameter, and myosin heavy chain (MHC) protein levels, two typical atrophic features in C2C12 myotubes. We also observed similar results when INT-777 agonists activated the TGR5 receptor. To evaluate the participation of TGR5 in muscle atrophy induced by DCA and CA, we used a culture of muscle fiber isolated from WT and TGR5(-/-) mice. Our results show that DCA and CA decrease the fiber diameter and MHC protein levels, and there is an increase in atrogin-1, MuRF-1, and oxidative stress in WT fibers. The absence of TGR5 in fibers abolished all these effects induced by DCA and CA. Thus, we demonstrated that CS and deoxycholic acid induce skeletal muscle atrophy through TGR5 receptor.</t>
  </si>
  <si>
    <t>ARRESE, MARCO/ABB-9061-2021; CABRERA, DANIEL/AAR-5027-2020; Gonzalez, Andrea/HGU-7618-2022; Cabello-Verrugio, Claudio/AAD-1454-2020</t>
  </si>
  <si>
    <t>Simon, Felipe/0000-0002-2653-9798; Aguirre Galaz, Francisco/0000-0001-8103-9473; , Maria Paz Meza Fierro/0009-0003-1507-6737; Gonzalez, Andrea/0000-0001-5003-7109; Abrigo, Johanna/0000-0002-5598-513X</t>
  </si>
  <si>
    <t>0021-9541</t>
  </si>
  <si>
    <t>1097-4652</t>
  </si>
  <si>
    <t>10.1002/jcp.29839</t>
  </si>
  <si>
    <t>JUN 2020</t>
  </si>
  <si>
    <t>WOS:000538312400001</t>
  </si>
  <si>
    <t>López, V; Murphy, M; Lucke, C; Torres-Vallejos, J; Villalobos-Parada, B; Ascorra, P; Carrasco, C; Bilbao, M</t>
  </si>
  <si>
    <t>Lopez, Veronica; Murphy, Michael; Lucke, Cara; Torres-Vallejos, Javier; Villalobos-Parada, Boris; Ascorra, Paula; Carrasco, Claudia; Bilbao, Marian</t>
  </si>
  <si>
    <t>Peer Victimization and Mental Health Risk in Chilean Students</t>
  </si>
  <si>
    <t>JOURNAL OF CHILD AND FAMILY STUDIES</t>
  </si>
  <si>
    <t>Children who exhibit mental health problems are more likely to be targets of peer victimization. However, little is known about how mental health risk interacts with other individual and school-level factors in this relationship. In the current study, we explored the associations between peer victimization and mental health in 10,532 Chilean sixth grade students attending 405 of the lower SES schools in the country. Children were screened for mental health and classroom adaptation problems using standardized parent and teacher rating scales at the beginning of the school year, and completed questionnaires on self-reported peer victimization, classroom climate, and school climate at the end of the year, as part of an ongoing national school mental health program, which includes monitoring for school violence and school climate. Data were analyzed through logistic regression and multilevel analyses, incorporating sex, absenteeism due to physical health, school attendance, and individual SES as covariates. Results showed that the odds of being victimized by peers were five times greater for students who were identified at risk for mental health problems based on parent reports, and one time greater for students identified by teachers with attention and concentration difficulties. However, multilevel analyses showed that the relative contribution of mental health risk to peer victimization significantly diminished when other individual and school-level variables were included. Particularly relevant was the contribution of individual SES, classroom climate, and absenteeism due to physical health; and of school-level SES. These findings suggest the complex nature of the influence of mental health on peer victimization and the relevance of the social context interacting with student's mental health problems.</t>
  </si>
  <si>
    <t>Carrasco, Claudia/AAF-6848-2021; López, Verónica/IYS-2269-2023; Torres-Vallejos, Javier/AAH-3587-2020; Bilbao, M. Angeles/K-8367-2014; Lopez, Veronica/K-5472-2014</t>
  </si>
  <si>
    <t>Ascorra, Paula/0000-0001-9449-8273; Bilbao, M. Angeles/0000-0002-5984-4908; Lopez, Veronica/0000-0001-7405-3859; Carrasco, Claudia/0000-0002-8768-2440; Torres-Vallejos, Javier/0000-0002-4229-7768</t>
  </si>
  <si>
    <t>1062-1024</t>
  </si>
  <si>
    <t>1573-2843</t>
  </si>
  <si>
    <t>10.1007/s10826-018-1105-5</t>
  </si>
  <si>
    <t>WOS:000438106800022</t>
  </si>
  <si>
    <t>Pitcheri, R; Mooni, SP; Radhalayam, D; Nora, M; Roy, S; Al-Zahrani, FAM; Suneetha, M</t>
  </si>
  <si>
    <t>Pitcheri, Rosaiah; Mooni, Siva Prasad; Radhalayam, Dhanalakshmi; Nora, Maaouni; Roy, Soumyendu; Al-Zahrani, Fatimah Ali M.; Suneetha, Maduru</t>
  </si>
  <si>
    <t>Effect of Ce-doping on the structural, morphological, and electrochemical features of Co3O4 nanoparticles synthesized by solution combustion method for battery-type supercapacitors</t>
  </si>
  <si>
    <t>This study investigates the potential of cerium (Ce) doping to improve the performance of cobalt oxide (Co3O4) nanoparticles as battery-type supercapacitor electrodes. Pure Co3O4 nanoparticles were synthesized via a solution combustion method and then doped with 2.5 % (Ce-Co3O4) and 5 % Ce (CeO2-Co3O4). Comprehensive characterization, including X-ray diffraction (XRD), Raman spectroscopy, and field emission scanning electron microscopy (FESEM), was used to analyze the impact of Ce doping on the material properties. XRD analysis confirmed the successful incorporation of Ce into the Co3O4 structure, with distinct CeO2 phases forming at higher doping levels. Ce doping resulted in decreased crystallite size and peak intensity, indicating reduced crystallinity and increased defect concentration. Raman spectroscopy corroborated these findings, showing a redshift that suggests weakened metal-oxygen bonds and smaller grain sizes due to Ce(3+)incorporation. FESEM images demonstrated that Ce doping effectively reduced nanoparticle agglomeration, with 2.5 % doping leading to smaller particles and 5 % doping promoting a 2D flake-like morphology with increased porosity. Nitrogen adsorption-desorption measurements revealed a significant increase in surface area and pore volume for CeO2-Co3O4, facilitating improved electrolyte diffusion and reduced resistance, thereby enhancing electrochemical performance. Evaluation of the electrochemical properties of undoped and Ce-doped Co3O4 materials revealed a battery-like response in a three-electrode configuration. Notably, the CeO2-Co3O4 exhibited a superior specific capacity of 603.3 C g(-1) at a current density of 1 A g(-1), significantly exceeding the values of 368.5 C g(-1) and 127.1 C g(-1) achieved by Ce-Co3O4 and undoped Co3O4, respectively. Furthermore, the CeO2-doped Co3O4 demonstrated exceptional cyclic stability, retaining 87 % of its initial capacity after undergoing 5000 charge-discharge cycles at a high current density of 10 A g(-1). These results suggest that Ce doping is a promising strategy for optimizing Co3O4-based battery-type electrode materials, potentially leading to the development of high-performance and cost-effective energy storage systems.</t>
  </si>
  <si>
    <t>MOONI, SIVA/ABI-5261-2020; Rosaiah/B-4028-2014; Alzahrani, Fatimah/AAX-7912-2020; Roy, Soumyendu/N-4586-2014</t>
  </si>
  <si>
    <t>A.M. Al-Zahrani, Fatimah/0000-0002-7413-9115; , Dr Rosaiah/0000-0001-9554-4972; MOONI, SIVA PRASAD/0000-0001-5454-8299</t>
  </si>
  <si>
    <t>10.1016/j.ceramint.2024.09.396</t>
  </si>
  <si>
    <t>NOV 2024</t>
  </si>
  <si>
    <t>WOS:001361710000001</t>
  </si>
  <si>
    <t>Li, HX; Nasab, SS; Roghani, H; Roghani, P; Gheisari, M; Fernández-Campusano, C; Abbasi, AA; Wu, ZD</t>
  </si>
  <si>
    <t>Li, Huxiong; Nasab, Samaneh Salehi; Roghani, Hamid; Roghani, Parya; Gheisari, Mehdi; Fernandez-Campusano, Christian; Abbasi, Aaqif Afzaal; Wu, Zongda</t>
  </si>
  <si>
    <t>LMFLS: A new fast local multi-factor node scoring and label selection-based algorithm for community detection</t>
  </si>
  <si>
    <t>CHAOS SOLITONS &amp; FRACTALS</t>
  </si>
  <si>
    <t>Community detection is still regarded as one of the most applicable approaches for discovering latent information in complex networks. To meet the needs of processing large networks in today's world, it is important to propose fast methods that have low execution time and fast convergence speed, while maintaining algorithmic accuracy. To overcome these issues, a fast local multi-factor node scoring and label selection-based (LMFLS) method with low time complexity and fast convergence is proposed. Node scoring step incorporates diverse metrics to better assess impact of nodes from different aspects and obtain more meaningful order of nodes. In second step, to construct and stabilize initial structure of communities, an efficient label assignment technique based on the selection of the most similar neighbor is suggested. Moreover, two label selection strategies are proposed to significantly enhance the accuracy and improve convergence of the algorithm. During the label selection step, each node in graph tends to choose the most appropriate label based on a multi-criteria label influence from its surrounding nodes. Finally, by utilizing a novel merge method, small group of nodes are merged to form the final communities. Meanwhile, since drug repositioning is one of the popular research fields in therapeutics, to extend the application of the proposed algorithm in practical context, the LMFLS algorithm is applied on Drug-Drug network to find potential repositioning for drugs. Thorough experiments are conducted on both actual real-world networks and synthetic networks to assess the algorithm's performance and accuracy. The findings demonstrate that the proposed method outperforms state-of-the-art algorithms in terms of both accuracy and execution time.</t>
  </si>
  <si>
    <t>Gheisari, Mehdi/Y-4681-2018; Fernández-Campusano, Christian/M-8749-2018; Roghani, Hamid/GYV-0955-2022</t>
  </si>
  <si>
    <t>Roghani, Hamid/0000-0002-8084-5075; Fernandez-Campusano, Christian/0000-0001-7033-4178</t>
  </si>
  <si>
    <t>0960-0779</t>
  </si>
  <si>
    <t>1873-2887</t>
  </si>
  <si>
    <t>10.1016/j.chaos.2024.115126</t>
  </si>
  <si>
    <t>WOS:001257839100001</t>
  </si>
  <si>
    <t>Escobar, A; Reyes-López, FE; Acevedo, ML; Alonso-Palomares, L; Valiente-Echeverria, F; Soto-Rifo, R; Portillo, H; Gatica, J; Flores, I; Nova-Lamperti, E; Barrera-Avalos, C; Bono, MR; Vargas, L; Simon, V; Leiva-Salcedo, E; Vial, C; Hormazabal, J; Cortes, LJ; Valdés, D; Sandino, AM; Imarai, M; Acuña-Castillo, C</t>
  </si>
  <si>
    <t>Escobar, Alejandro; Reyes-Lopez, Felipe E.; Acevedo, Monica L.; Alonso-Palomares, Luis; Valiente-Echeverria, Fernando; Soto-Rifo, Ricardo; Portillo, Hugo; Gatica, Jimena; Flores, Ivan; Nova-Lamperti, Estefania; Barrera-Avalos, Carlos; Bono, Maria Rosa; Vargas, Leonardo; Simon, Valeska; Leiva-Salcedo, Elias; Vial, Cecilia; Hormazabal, Juan; Cortes, Lina Jimena; Valdes, Daniel; Sandino, Ana M.; Imarai, Monica; Acuna-Castillo, Claudio</t>
  </si>
  <si>
    <t>Evaluation of the Immune Response Induced by CoronaVac 28-Day Schedule Vaccination in a Healthy Population Group</t>
  </si>
  <si>
    <t>CoronaVac vaccine from Sinovac Life Science is currently being used in several countries. In Chile, the effectiveness of preventing hospitalization is higher than 80% with a vaccination schedule. However, to date, there are no data about immune response induction or specific memory. For this reason, we recruited 15 volunteers without previous suspected/diagnosed COVID-19 and with negative PCR over time to evaluate the immune response to CoronaVac 28 and 90 days after the second immunization (dpi). The CoronaVac administration induces total and neutralizing anti-spike antibodies in all vaccinated volunteers at 28 and 90 dpi. Furthermore, using ELISpot analysis to assay cellular immune responses against SARS-CoV-2 spike protein, we found an increase in IFN-gamma- and Granzyme B-producing cells in vaccinated volunteers at 28 and 90 dpi. Together, our results indicate that CoronaVac induces a robust humoral immune response and cellular immune memory of at least 90 dpi.</t>
  </si>
  <si>
    <t>Escobar, Alejandro/I-2775-2013; Palomares, Luis/AAQ-8288-2021; Acevedo, Monica/HZH-7245-2023; Reyes-López, Felipe/S-1760-2018; Hormazabal, Juan/AAH-6061-2021; Acuña-Castillo, Claudio/AAI-7090-2021; Bono, Maria/G-7461-2014; Soto, Ricardo/AAJ-5510-2021; Vial, Maria Cecilia/GVS-4266-2022; Valiente-Echeverria, Fernando/I-6881-2018</t>
  </si>
  <si>
    <t>Vial, Cecilia/0000-0002-0399-6144; Acuna-Castillo, Claudio/0000-0003-3607-6077; Hormazabal, Juan/0000-0003-0726-2778; Mishra, Abhishek/0000-0003-2084-1416; Alonso-Palomares, Luis Antonio/0000-0002-6555-1992; Cortes Salinas, Lina Jimena/0000-0001-8119-5417; Valiente-Echeverria, Fernando/0000-0001-9156-2516; Reyes-Lopez, Felipe E./0000-0002-5001-457X; Nova-Lamperti, Estefania/0000-0002-7673-0013</t>
  </si>
  <si>
    <t>10.3389/fimmu.2021.766278</t>
  </si>
  <si>
    <t>WOS:000756934800001</t>
  </si>
  <si>
    <t>Mardones, W; Villarroel, CA; Krogerus, K; Tapia, SM; Urbina, K; Oporto, CI; O'Donnell, S; Minebois, R; Nespolo, R; Fischer, G; Querol, A; Gibson, B; Cubillos, FA</t>
  </si>
  <si>
    <t>Mardones, Wladimir; Villarroel, Carlos A.; Krogerus, Kristoffer; Tapia, Sebastian M.; Urbina, Kamila; Oporto, Christian I.; O'Donnell, Samuel; Minebois, Romain; Nespolo, Roberto; Fischer, Gilles; Querol, Amparo; Gibson, Brian; Cubillos, Francisco A.</t>
  </si>
  <si>
    <t>Molecular profiling of beer wort fermentation diversity across natural Saccharomyces eubayanus isolates</t>
  </si>
  <si>
    <t>MICROBIAL BIOTECHNOLOGY</t>
  </si>
  <si>
    <t>The utilization of S. eubayanus has recently become a topic of interest due to the novel organoleptic properties imparted to beer. However, the utilization of S. eubayanus in brewing requires the comprehension of the mechanisms that underlie fermentative differences generated from its natural genetic variability. Here, we evaluated fermentation performance and volatile compound production in ten genetically distinct S. eubayanus strains in a brewing fermentative context. The evaluated strains showed a broad phenotypic spectrum, some of them exhibiting a high fermentation capacity and high levels of volatile esters and/or higher alcohols. Subsequently, we obtained molecular profiles by generating 'end-to-end' genome assemblies, as well as metabolome and transcriptome profiling of two Patagonian isolates exhibiting significant differences in beer aroma profiles. These strains showed clear differences in concentrations of intracellular metabolites, including amino acids, such as valine, leucine and isoleucine, likely impacting the production of 2-methylpropanol and 3-methylbutanol. These differences in the production of volatile compounds are attributed to gene expression variation, where the most profound differentiation is attributed to genes involved in assimilatory sulfate reduction, which in turn validates phenotypic differences in H2S production. This study lays a solid foundation for future research to improve fermentation performance and select strains for new lager styles based on aroma and metabolic profiles.</t>
  </si>
  <si>
    <t>Cubillos, Francisco/MIT-2389-2025; Tapia, Sebastian/ABB-6644-2021; Fischer, Gilles/G-6654-2016; Querol, Amparo/AAW-7469-2020; Nespolo, Roberto/D-5601-2015; Querol, Amparo/H-3782-2012; Krogerus, Kristoffer/F-1019-2013</t>
  </si>
  <si>
    <t>Querol, Amparo/0000-0002-6478-6845; Krogerus, Kristoffer/0000-0001-7694-8277; Villarroel, Carlos/0000-0002-6089-3088; O'Donnell, Samuel/0000-0003-2447-1993; Gibson, Brian/0000-0002-1270-6532; MINEBOIS, ROMAIN/0000-0001-6959-1572</t>
  </si>
  <si>
    <t>1751-7915</t>
  </si>
  <si>
    <t>10.1111/1751-7915.13545</t>
  </si>
  <si>
    <t>WOS:000515437000001</t>
  </si>
  <si>
    <t>Castillo, RI; Rojo, LE; Henriquez-Henriquez, M; Silva, H; Maturana, A; Villar, MJ; Fuentes, M; Gaspar, PA</t>
  </si>
  <si>
    <t>Castillo, Rolando I.; Rojo, Leonel E.; Henriquez-Henriquez, Marcela; Silva, Hernan; Maturana, Alejandro; Villar, Maria J.; Fuentes, Manuel; Gaspar, Pablo A.</t>
  </si>
  <si>
    <t>From Molecules to the Clinic: Linking Schizophrenia and Metabolic Syndrome through Sphingolipids Metabolism</t>
  </si>
  <si>
    <t>FRONTIERS IN NEUROSCIENCE</t>
  </si>
  <si>
    <t>Metabolic syndrome (MS) is a prevalent and severe comorbidity observed in schizophrenia (SZ). The exact nature of this association is controversial and very often accredited to the effects of psychotropic medications and disease-induced life-style modifications, such as inactive lifestyle, poor dietary choices, and smoking. However, drug therapy and disease-induced lifestyle factors are likely not the only factors contributing to the observed converging nature of these conditions, since an increased prevalence of MS is also observed in first episode and drug-naive psychosis populations. MS and SZ share common intrinsic susceptibility factors and etiopathogenic mechanisms, which may change the way we approach clinical management of SZ patients. Among the most relevant common pathogenic pathways of SZ and MS are alterations in the sphingolipids (SLs) metabolism and SLs homeostasis. SLs have important structural functions as they participate in the formation of membrane lipid rafts. SLs also play physiological roles in cell differentiation, proliferation, and inflammatory processes, which might be part of MS/SZ common pathophysiological processes. In this article we review a plausible mechanism to explain the link between MS and SZ through a disruption in SL homeostasis. Additionally, we provide insights on how this hypothesis can lead to the developing of new diagnostic/therapeutic technologies for SZ patients.</t>
  </si>
  <si>
    <t>Villar, Marcelo/H-6596-2017; Gaspar, Pablo/AAA-6570-2020</t>
  </si>
  <si>
    <t>Rojo, Leonel/0000-0002-0188-2266; Gaspar, Pablo A./0000-0002-9682-5327</t>
  </si>
  <si>
    <t>1662-453X</t>
  </si>
  <si>
    <t>10.3389/fnins.2016.00488</t>
  </si>
  <si>
    <t>WOS:000387105700001</t>
  </si>
  <si>
    <t>García, M; Honores, J; Quezada, D; Díaz, C; Dreyse, P; Celis, F; Kubiak, CP; Canzi, G; Guzmán, F; Aguirre, MJ; Isaacs, M</t>
  </si>
  <si>
    <t>Garcia, Macarena; Honores, Jessica; Quezada, Diego; Diaz, Carlos; Dreyse, Paulina; Celis, Freddy; Kubiak, Clifford P.; Canzi, Gabriele; Guzman, Fernando; Aguirre, Maria J.; Isaacs, Mauricio</t>
  </si>
  <si>
    <t>Nitrite reduction on a multimetallic porphyrin/polyoxotungstate layer-by-layer modified electrodes</t>
  </si>
  <si>
    <t>Electro and photoelectrochemical reduction of nitrite in aqueous solution was studied using a multielectrocatalysts modified ITO electrode. ITO modification was carried out using the layer-by-layer (LBL) method, where sequential electrostatic assemblies were formed using a mu,-(meso-5,10,15,20-tetra (pirydil)porphyrin)tetrakisfbis(bipyridine)chloride ruthenium (11)} [MTRP](n+), coordinated in its central cavity with Mn(III), Zn(II) or Ni(II) as a cationic layer, and polyoxotungstate [SiW12O40](4) as the anionic layer. Electrochemical measurements and UV-vis spectroscopy were used to monitor the modification process. Optimal results were obtained when three layers were deposited onto the ITO surface and were stable in aqueous solution. The order of the multilayer formation was explored by comparing a modified electrode where [Zn(11)TRP](4+) was the outermost layer with an electrode where [SiW12O40](4) was the outer layer. Results show that the best performing electrode is one with [SiW12O40](4) as the outer layer. Nitrite reduction on these electrode surfaces was studied in dark conditions and under light irradiation. Potential controlled electrolysis experiments were also performed, finding hydroxylamine, hydrazine and ammonia as the reduction products in dark conditions. Under light irradiation, only hydrazine and ammonia were found and, we observed an increase in the amount of obtained product. In this case, the electrolysis was carried out 150 mV less and half of time than in dark conditions. These results show that the combination of light and potential give rise to an improvement in the electrocatalytic properties of the modified electrodes. Continuous photolysis and IR spectroelectrochemical experiments were carried out to determinate the nature of this phenomena, evidencing the formation of an intermediary species between nitrite and [Mn(111)TRP](5+.) (C) 2016 Elsevier Ltd. All rights reserved.</t>
  </si>
  <si>
    <t>Guzmán, Fernando/K-8389-2014; Aguirre, Maria/A-3935-2013; Diaz, Carlos/ITT-9959-2023; Dreyse, Paulina/KSM-6016-2024; Celis, Freddy/GPT-0287-2022; Isaacs, Mauricio/N-3027-2013; García, Macarena/GXG-8380-2022; Diaz, Carlos/R-8646-2018</t>
  </si>
  <si>
    <t>Quezada, Diego/0009-0003-0231-5866; Celis, Freddy/0000-0003-3195-3018; Isaacs Casanova, Mauricio/0000-0003-0503-0949; Diaz, Carlos/0000-0002-7250-8829; Quezada, Diego/0000-0001-7661-076X; Honores Sotelo, Jessica/0000-0003-1172-4728; Aguirre, Maria/0000-0003-1134-4469; Dreyse, Paulina/0000-0003-0695-7885</t>
  </si>
  <si>
    <t>10.1016/j.electacta.2016.01.132</t>
  </si>
  <si>
    <t>WOS:000371143600009</t>
  </si>
  <si>
    <t>Perera-Castro, AV; Waterman, MJ; Turnbull, JD; Ashcroft, MB; McKinley, E; Watling, JR; Bramley-Alves, J; Casanova-Katny, A; Zuniga, G; Flexas, J; Robinson, SA</t>
  </si>
  <si>
    <t>Perera-Castro, Alicia, V; Waterman, Melinda J.; Turnbull, Johanna D.; Ashcroft, Michael B.; McKinley, Ella; Watling, Jennifer R.; Bramley-Alves, Jessica; Casanova-Katny, Angelica; Zuniga, Gustavo; Flexas, Jaume; Robinson, Sharon A.</t>
  </si>
  <si>
    <t>It Is Hot in the Sun: Antarctic Mosses Have High Temperature Optima for Photosynthesis Despite Cold Climate</t>
  </si>
  <si>
    <t>FRONTIERS IN PLANT SCIENCE</t>
  </si>
  <si>
    <t>The terrestrial flora of Antarctica's frozen continent is restricted to sparse ice-free areas and dominated by lichens and bryophytes. These plants frequently battle sub-zero temperatures, extreme winds and reduced water availability; all influencing their ability to survive and grow. Antarctic mosses, however, can have canopy temperatures well above air temperature. At midday, canopy temperatures can exceed 15 degrees C, depending on moss turf water content. In this study, the optimum temperature of photosynthesis was determined for six Antarctic moss species:Bryum pseudotriquetrum,Ceratodon purpureus,Chorisodontium aciphyllum,Polytrichastrum alpinum,Sanionia uncinata, andSchistidium antarcticicollected from King George Island (maritime Antarctica) and/or the Windmill Islands, East Antarctica. Both chlorophyll fluorescence and gas exchange showed maximum values of electron transport rate occurred at canopy temperatures higher than 20 degrees C. The optimum temperature for both net assimilation of CO(2)and photoprotective heat dissipation of three East Antarctic species was 20-30 degrees C and at temperatures below 10 degrees C, mesophyll conductance did not significantly differ from 0. Maximum mitochondrial respiration rates occurred at temperatures higher than 35 degrees C and were lower by around 80% at 5 degrees C. Despite the extreme cold conditions that Antarctic mosses face over winter, the photosynthetic apparatus appears optimised to warm temperatures. Our estimation of the total carbon balance suggests that survival in this cold environment may rely on a capacity to maximize photosynthesis for brief periods during summer and minimize respiratory carbon losses in cold conditions.</t>
  </si>
  <si>
    <t>Waterman, Melinda/N-5880-2019; Robinson, Sharon/B-2683-2008; Flexas, Jaume/C-1898-2012; Zuñiga, Gustavo/P-8306-2015; Watling, Jennifer/B-9485-2008; Casanova-Katny, Angelica/M-3994-2014; Perera Castro, Alicia V./C-4856-2019</t>
  </si>
  <si>
    <t>Casanova-Katny, Angelica/0000-0003-3860-1445; Waterman, Melinda/0000-0001-5907-4512; Watling, Jennifer/0000-0001-6305-9905; Zuniga, Gustavo/0000-0002-8286-9468; Turnbull, Johanna/0000-0002-4214-1675; Perera Castro, Alicia V./0000-0001-8451-6052</t>
  </si>
  <si>
    <t>1664-462X</t>
  </si>
  <si>
    <t>AUG 7</t>
  </si>
  <si>
    <t>10.3389/fpls.2020.01178</t>
  </si>
  <si>
    <t>WOS:000565334000001</t>
  </si>
  <si>
    <t>Ramírez-Vélez, R; Pérez-Sousa, MA; Venegas-Sanabria, LC; Cano-Gutierrez, CA; Hernández-Quiñonez, PA; Rincón-Pabón, D; García-Hermoso, A; Zambom-Ferraresi, F; de Asteasu, MLS; Izquierdo, M</t>
  </si>
  <si>
    <t>Ramirez-Velez, Robinson; Perez-Sousa, Miguel A.; Venegas-Sanabria, Luis C.; Cano-Gutierrez, Carlos A.; Hernandez-Quinonez, Paula A.; Rincon-Pabon, David; Garcia-Hermoso, Antonio; Zambom-Ferraresi, Fabricio; Saez de Asteasu, Mikel L.; Izquierdo, Mikel</t>
  </si>
  <si>
    <t>Normative Values for the Short Physical Performance Battery (SPPB) and Their Association With Anthropometric Variables in Older Colombian Adults. The SABE Study, 2015</t>
  </si>
  <si>
    <t>FRONTIERS IN MEDICINE</t>
  </si>
  <si>
    <t>Background: The short physical performance battery (SPPB) is a physical performance test of lower extremity function designed for non-disabled older adults. We aimed to establish reference values for community-dwelling Colombian adults aged 60 years or older in terms of (1) the total score; (2) the three subtest scores (walking speed, standing balance performance, and five times sit-to-stand test); and (3) the time to complete the five times sit-to-stand test, s and the walking speed test. Additionally, we sought to explore how much of the variance in the SPPB subtest scores could be explained by anthropometric variables (age, body mass, height, body mass index, and calf circumference). Methods: Participants were men and women aged 60 years or older who participated in the Health and Well-being and Aging Survey in Colombia, 2015. A sample of 4,211 participants (57.3% women) completed the SPPB test, and their anthropometric variables were evaluated. Age-specific percentiles were calculated using the LMS method (3rd, 10th, 25th, 50th, 75th, 90th, and 97th percentiles). Results: The mean SPPB total score for the entire sample was 8.73 (2.0) points. On average, the total SPPB score was 0.85 points greater in men than in women (p &lt; 0.001). Significant sex differences were observed in all three age groups tested (60-69, 70-79, and 80+ years). In the full sample, our findings suggested that age, body mass, height, body mass index, and calf circumference are significant contributors to walking speed (p &lt; 0.001) after controlling for confounding factors, including ethnicity, socioeconomic status, and urbanicity. Conclusions: Percentile values are of interest to identify target populations for primary prevention and to estimate the proportion of high or low values for SPPB measures in community-dwelling Colombians aged at least 60 years.</t>
  </si>
  <si>
    <t>Zambom-Ferraresi, Fabrício/M-1906-2018; Perez-Sousa, Miguel/M-5931-2019; Rincón-Pabón, David/O-4165-2019; García-Hermoso, Antonio/ADU-2591-2022; Asteasu, Mikel/A-8973-2017; Venegas Sanabria, Luis Carlos/GYJ-3056-2022; Izquierdo, Mikel/A-4894-2010; Garcia-Hermoso, Antonio/P-1857-2017; Ramirez-Velez, Robinson/D-5311-2016</t>
  </si>
  <si>
    <t>Izquierdo, Mikel/0000-0002-1506-4272; Saez de Asteasu, Mikel Lopez/0000-0002-4111-5045; Perez-Sousa, Miguel Angel/0000-0003-4392-6850; Garcia-Hermoso, Antonio/0000-0002-1397-7182; Cano-Gutierrez, Carlos/0000-0001-5680-7880; Venegas-Sanabria, Luis Carlos/0000-0001-8260-9108; Ramirez-Velez, Robinson/0000-0003-3075-6960; Rincon-Pabon, David/0000-0001-9678-2382</t>
  </si>
  <si>
    <t>2296-858X</t>
  </si>
  <si>
    <t>10.3389/fmed.2020.00052</t>
  </si>
  <si>
    <t>WOS:000518944300001</t>
  </si>
  <si>
    <t>Sotomayor-Zárate, R; Quirozi, G; Araya, KA; Abarea, J; Ibáñez, MR; Montecinos, A; Guajardo, C; Núñez, G; Fierro, A; Moya, PR; Iturriaga-Vásquez, P; Gómez-Molina, C; Gysling, K; Reyes-Parada, M</t>
  </si>
  <si>
    <t>Sotomayor-Zarate, Ramon; Quirozi, Gabriel; Araya, Katherine A.; Abarea, Jorge; Ibanez, Maria R.; Montecinos, Alejandro; Guajardo, Carlos; Nunez, Gabriel; Fierro, Angelica; Moya, Pablo R.; Iturriaga-Vasquez, Patricio; Gomez-Molina, Cristobal; Gysling, Katia; Reyes-Parada, Miguel</t>
  </si>
  <si>
    <t>4-Methylthioamphetamine Increases Dopamine in the Rat Striatum and has Rewarding Effects In Vivo</t>
  </si>
  <si>
    <t>BASIC &amp; CLINICAL PHARMACOLOGY &amp; TOXICOLOGY</t>
  </si>
  <si>
    <t>4-Methylthioamphetamine (MTA) is a phenylisopropylamine derivative whose use has been associated with severe intoxications. MTA is usually regarded as a selective serotonin-releasing agent. Nevertheless, previous data have suggested that its mechanism of action probably involves a catecholaminergic component. As little is known about dopaminergic effects of this drug, in this work the actions of MTA upon the dopamine (DA) transporter (DAT) were studied in vitro, in vivo and in silico. Also, the possible abuse liability of MTA was behaviourally assessed. MTA exhibited an in vitro affinity for the rat DAT in the low micromolar range (6.01 mu M) and induced a significant, dose-dependent increase in striatal DA. MTA significantly increased c-Fos-positive cells in striatum and nucleus accumbens, induced conditioned place preference and increased locomotor activity. Docking experiments were performed in a homology model of the DAT. In conclusion, our results show that MTA is able to increase extracellular striatal DA levels and that its administration has rewarding properties. These effects were observed at concentrations or doses that can be relevant to its use in human beings.</t>
  </si>
  <si>
    <t>Moya, Pablo/HTZ-1393-2023; Fierro, Angelica/AAJ-2533-2020; Nuñez, Gabriel/IAN-2843-2023</t>
  </si>
  <si>
    <t>Ibanez, Maria Raquel/0000-0002-3371-2894; Sotomayor-Zarate, Ramon/0000-0002-1239-5367; Nunez Vivanco, Gabriel/0000-0002-2858-1789; Moya, Pablo/0000-0001-6409-1544; Fierro Huerta, Angelica/0000-0002-6507-4188</t>
  </si>
  <si>
    <t>1742-7835</t>
  </si>
  <si>
    <t>1742-7843</t>
  </si>
  <si>
    <t>10.1111/j.1742-7843.2012.00926.x</t>
  </si>
  <si>
    <t>WOS:000311055700004</t>
  </si>
  <si>
    <t>Casassus, S; Cieza, L; Cárcamo, M; Ribas, A; Christiaens, V; Rodríguez-Jiménez, A; Arce-Tord, C; Bhowmik, T; Chavan, P; González-Ruilova, C; Martínez-Brunner, R</t>
  </si>
  <si>
    <t>Casassus, Simon; Cieza, Lucas; Carcamo, Miguel; Ribas, Alvaro; Christiaens, Valentin; Rodriguez-Jimenez, Abigali; Arce-Tord, Carla; Bhowmik, Trisha; Chavan, Prachi; Gonzalez-Ruilova, Camilo; Martinez-Brunner, Rafael</t>
  </si>
  <si>
    <t>Azimuthal temperature variations in ISO-Oph 2 from multifrequency ALMA observations</t>
  </si>
  <si>
    <t>Environmental effects, such as stellar fly-bys and external irradiation, are thought to affect the evolution of protoplanetary discs in clustered star formation. Previous Atacama Large Millimetre/submillimetre Array (ALMA) images at 225 GHz of the ISO-Oph 2 binary revealed a peculiar morphology in the disc of the primary, perhaps due to a possible fly-by with the secondary. Here, we report on new ALMA continuum observations of this system at 97.5, 145, and 405 GHz, which reveal strong morphological variations. Multifrequency positional alignment allows us to interpret these spectral variations in terms of underlying physical conditions. ISO-Oph 2A is remarkably offset from the centroid of its ring, at all frequencies, and the disc is lopsided, pointing at gravitational interactions. However, the dust temperature also varies in azimuth, with two peaks whose direction connects with HD 147889, the earliest-type star in the Ophiuchus complex, suggesting that it is the dominant heat source. The stellar environment of ISO-Oph 2 appears to drive both its density structure and its thermal balance.</t>
  </si>
  <si>
    <t>Casassus, Simon/I-8609-2016; Carcamo, Miguel/LEM-3690-2024</t>
  </si>
  <si>
    <t>Casassus, Simon/0000-0002-0433-9840; Bhowmik, Trisha/0000-0002-4314-9070; Cieza, Lucas/0000-0002-2828-1153; Gonzalez Ruilova, Camilo/0000-0003-4907-189X; Arce-Tord, Carla/0000-0002-0176-4331; Chavan, Prachi/0000-0003-2406-0684; Martinez Brunner, Rafael/0000-0001-9163-8314; Carcamo, Miguel/0000-0003-0564-8167</t>
  </si>
  <si>
    <t>10.1093/mnras/stad1981</t>
  </si>
  <si>
    <t>WOS:001078240400001</t>
  </si>
  <si>
    <t>Kirillov, A; Morozova, N; Kozlova, S; Polinovskaya, V; Smirnov, S; Khodorkovskii, M; Zeng, LY; Ispolatov, Y; Severinov, K</t>
  </si>
  <si>
    <t>Kirillov, Alexander; Morozova, Natalia; Kozlova, Svetlana; Polinovskaya, Vasilisa; Smirnov, Sergey; Khodorkovskii, Mikhail; Zeng, Lanying; Ispolatov, Yaroslav; Severinov, Konstantin</t>
  </si>
  <si>
    <t>Cells with stochastically increased methyltransferase to restriction endonuclease ratio provide an entry for bacteriophage into protected cell population</t>
  </si>
  <si>
    <t>NUCLEIC ACIDS RESEARCH</t>
  </si>
  <si>
    <t>The action of Type II restriction-modification (RM) systems depends on restriction endonuclease (REase), which cleaves foreign DNA at specific sites, and methyltransferase (MTase), which protects host genome from restriction by methylating the same sites. We here show that protection from phage infection increases as the copy number of plasmids carrying the Type II RM Esp1396I system is increased. However, since increased plasmid copy number leads to both increased absolute intracellular RM enzyme levels and to a decreased MTase/REase ratio, it is impossible to determine which factor determines resistance/susceptibility to infection. By controlled expression of individual Esp1396I MTase or REase genes in cells carrying the Esp1396I system, we show that a shift in the MTase to REase ratio caused by overproduction of MTase or REase leads, respectively, to decreased or increased protection from infection. Consistently, due to stochastic variation of MTase and REase amount in individual cells, bacterial cells that are productively infected by bacteriophage have significantly higher MTase to REase ratios than cells that ward off the infection. Our results suggest that cells with transiently increased MTase to REase ratio at the time of infection serve as entry points for unmodified phage DNA into protected bacterial populations.</t>
  </si>
  <si>
    <t>Morozova, Natalia/A-7955-2014; Severinov, Konstantin/C-8545-2016; Ispolatov, Iaroslav/E-8544-2010; Khodorkovskii, Mikhail/G-2793-2011</t>
  </si>
  <si>
    <t>Ispolatov, Iaroslav/0000-0002-0201-3396; Smirnov, Sergei/0000-0002-6456-6295; Khodorkovskii, Mikhail/0000-0003-0562-0156; Kozlova, Svetlana/0000-0003-2251-0354</t>
  </si>
  <si>
    <t>0305-1048</t>
  </si>
  <si>
    <t>1362-4962</t>
  </si>
  <si>
    <t>10.1093/nar/gkac1124</t>
  </si>
  <si>
    <t>WOS:000894130100001</t>
  </si>
  <si>
    <t>Martínez, V; Rojas, G; Martínez, P; Gaete, J; Zitko, P; Vöhringer, PA; Araya, R</t>
  </si>
  <si>
    <t>Martinez, Vania; Rojas, Graciela; Martinez, Pablo; Gaete, Jorge; Zitko, Pedro; Vohringer, Paul A.; Araya, Ricardo</t>
  </si>
  <si>
    <t>Computer-Assisted Cognitive-Behavioral Therapy to Treat Adolescents With Depression in Primary Health Care Centers in Santiago, Chile: A Randomized Controlled Trial</t>
  </si>
  <si>
    <t>Introduction: Evidence from developed countries shows the efficacy of computer-assisted cognitive-behavioral therapy (cCBT) in addressing adolescent depression in home and/or school settings. This paper presents the results of a randomized controlled trial (RCT) of a brief therapist-guided cCBT intervention for adolescent depression in resource-constrained primary health care (PHC) settings. Material and methods: A multicenter, two-arm parallel-group, individually RCT with a 1:1 allocation ratio assigned 216 depressed adolescents (aged 15-19) attending four PHC centers in a low-income municipality of Santiago, Chile, to receive eight weekly face-to-face therapist-guided cCBT sessions by study therapists (N = 108), or to receive an enhanced usual care (EUC) intervention by trained PHC psychologists, encouraged to adhere to the national clinical guidelines for the management of depression (N = 108). Both groups received pharmacotherapy concordant with these guidelines. The primary outcome was the Beck Depression Inventory (BDI) at 4 months post-randomization, to assess depressive symptoms. BDI at 6 months post-randomization was a secondary outcome. Additional measures included patients' compliance, and satisfaction with different treatment components, at 6 months post-randomization. Main Results: The adjusted difference in mean BDI score between groups was -3.75 (95% CI -6.23 to -1.28; p = 0.003) at 4 months post-randomization. At 6 months post-randomization, the adjusted difference in mean BDI score between groups was -2.31 (95% CI -4.89 to 0.27; p = 0.078). The effect size was small-to-medium at 4 months post-randomization, d = 0.39 (0.12 to 0.67), and small and non-significant at 6 months post-randomization d = 0.29 (-0.00 to 0.59). Adolescents in the experimental treatment group were significantly more satisfied with treatment, with the PHC centers' facilities, with the psychological care received, and with non-professional staff than those in the comparator treatment group. Discussion: A brief therapist-guided cCBT eight-session intervention improves the response of depressed adolescents attending PHC centers at 4 months post-randomization. At 6 months post-randomization, the differences of between groups were not significant. Future research may focus on exploring strategies to sustain and increase response.</t>
  </si>
  <si>
    <t>martinez, vania/HTR-5513-2023; Araya, Ricardo/S-3144-2019; Gaete, Jorge/C-7471-2014; Martínez, Pablo/LZF-5853-2025; Vohringer, Paul A/B-5860-2013; Martinez, Vania/LBT-7587-2024</t>
  </si>
  <si>
    <t>Vohringer, Paul A/0000-0002-2460-4680; Martinez, Vania/0000-0001-5980-7122</t>
  </si>
  <si>
    <t>JUL 30</t>
  </si>
  <si>
    <t>10.3389/fpsyt.2019.00552</t>
  </si>
  <si>
    <t>WOS:000477800700001</t>
  </si>
  <si>
    <t>Durán, S; Sánchez, H; Valladares, M; López, A; Badilla, PV; Herrera, T</t>
  </si>
  <si>
    <t>Duran, Samuel; Sanchez, Hugo; Valladares, Macarena; Lopez, Antonio; Valdes Badilla, Pablo; Herrera, Tomas</t>
  </si>
  <si>
    <t>Association of sedentariness and health promoting lifestyles in older adults</t>
  </si>
  <si>
    <t>Background: Part of having healthy lifestyles should be a regular practice of physical activities. Aim: To evaluate the association between the practice of physical activity and healthy lifestyles in older people. Material and Methods: The Health-Promoting Lifestyle Profile survey was applied to 1688 older people living in the community, aged 72 +/- 7 years (61% women). This survey includes questions about regular physical activity. Results: Twenty four percent of surveyed participants declared to practice physical activities at least three times per week, without gender differences. Sedentariness increased along with age. There was a negative association between low physical activity and healthy lifestyles (odds ratio (OR): 3.2 confidence intervals (CI): 2.3-4.5). There was also an association between sedentariness and low self-realization (OR 2.4 CI: 1.8-3.3), low responsibility with health (OR 1.6 CI: 1.22.1), low concern about nutrition (OR 1.8 CI: 1.4-2.4), low stress management (OR 2.0 CI: 1.5-2.7) and low interpersonal support (OR 2.0 CI: 1.5-2.6). Conclusions: Sedentariness is negatively associated with health promoting lifestyles in this group of older people.</t>
  </si>
  <si>
    <t>HERRERA, TOMAS/AAH-3739-2019; Agüero, Samuel/AAZ-6140-2020</t>
  </si>
  <si>
    <t>10.4067/s0034-98872017001201535</t>
  </si>
  <si>
    <t>WOS:000429615300004</t>
  </si>
  <si>
    <t>Ashcroft, MB; Casanova-Katny, A; Mengersen, K; Rosenstiel, TN; Turnbull, JD; Wasley, J; Waterman, MJ; Zúñiga, GE; Robinson, SA</t>
  </si>
  <si>
    <t>Ashcroft, Michael B.; Casanova-Katny, Angelica; Mengersen, Kerrie; Rosenstiel, Todd N.; Turnbull, Johanna D.; Wasley, Jane; Waterman, Melinda J.; Zuniga, Gustavo E.; Robinson, Sharon A.</t>
  </si>
  <si>
    <t>Bayesian methods for comparing species physiological and ecological response curves</t>
  </si>
  <si>
    <t>ECOLOGICAL INFORMATICS</t>
  </si>
  <si>
    <t>Many ecological questions require information on species' optimal conditions or critical limits along environmental gradients. These attributes can be compared to answer questions on niche partitioning, species coexistence and niche conservatism. However, these comparisons are unconvincing when existing methods do not quantify the uncertainty in the attributes or rely on assumptions about the shape of species' responses to the environmental gradient. The aim of this study was to develop a model to quantify the uncertainty in the attributes of species response curves and allow them to be tested for substantive differences without making assumptions about the shape of the responses. We developed a model that used Bayesian penalised splines to produce and compare response curves for any two given species. These splines allow the data to determine the shape of the response curves rather than making a priori assumptions. The models were implemented using the R2OpenBUGS package for R, which uses Markov Chain Monte Carlo simulation to repetitively fit alternative response curves to the data. As each iteration produces a different curve that varies in optima, niche breadth and limits, the model estimates the uncertainty in each of these attributes and the probability that the two curves are different. The models were tested using two datasets of mosses from Antarctica. Both datasets had a high degree of scatter, which is typical of ecological research. This noise resulted in considerable uncertainty in the optima and limits of species response curves, but substantive differences were found. Schistidium antarctici was found to inhabit wetter habitats than Ceratodon purpureus, and Polytrichastrum alpinum had a lower optimal temperature for photosynthesis than Chorisodontium aciphyllum under high light conditions. Our study highlights the importance of considering uncertainty in physiological optima and other attributes of species response curves. We found that apparent differences in optima of 7.5 degrees C were not necessarily substantive when dealing with noisy ecological data, and it is necessary to consider the uncertainty in attributes when comparing the curves for different species. The model introduced here could increase the robustness of research on niche partitioning, species coexistence and niche conservatism. (C) 2016 Elsevier B.V. All rights reserved.</t>
  </si>
  <si>
    <t>Zuñiga, Gustavo/P-8306-2015; Casanova-Katny, Angelica/M-3994-2014; Waterman, Melinda/N-5880-2019; Wasley, Jane/KHX-4880-2024; Mengersen, Kerrie/AHC-4096-2022; Robinson, Sharon/B-2683-2008</t>
  </si>
  <si>
    <t>Robinson, Sharon/0000-0002-7130-9617; Mengersen, Kerrie/0000-0001-8625-9168; Turnbull, Johanna/0000-0002-4214-1675; Ashcroft, Michael/0000-0003-2157-5965; Waterman, Melinda/0000-0001-5907-4512; Wasley, Jane/0000-0001-9379-664X; Zuniga, Gustavo/0000-0002-8286-9468</t>
  </si>
  <si>
    <t>1574-9541</t>
  </si>
  <si>
    <t>1878-0512</t>
  </si>
  <si>
    <t>10.1016/j.ecoinf.2016.03.001</t>
  </si>
  <si>
    <t>WOS:000380082300004</t>
  </si>
  <si>
    <t>Henriquez, M; Ramirez-Campillo, R; Cristi-Montero, C; Reina, R; Alvarez, C; Ferrari, G; Aguilar-Farias, N; Sadarangani, KP</t>
  </si>
  <si>
    <t>Henriquez, Matias; Ramirez-Campillo, Rodrigo; Cristi-Montero, Carlos; Reina, Raul; Alvarez, Cristian; Ferrari, Gerson; Aguilar-Farias, Nicolas; Sadarangani, Kabir P.</t>
  </si>
  <si>
    <t>Alarming low physical activity levels in Chilean adults with disabilities during COVID-19 pandemic: a representative national survey analysis</t>
  </si>
  <si>
    <t>BackgroundPeople with disabilities usually face barriers to regularly engaging in physical activities. Estimating physical activity patterns are necessary to elaborate policies and strategies to facilitate active lifestyles, considering the particular access difficulties experienced by this population. PurposeThis study aimed (i) to describe the prevalence of physical activity levels and (ii) to examine the associations of physical activity levels with socio-demographic variables and type of disability in the 2020 Chilean National Physical Activity and Sports Habits in Populations with Disabilities (CNPASHPwD) survey during the coronavirus disease 19 (COVID-19) pandemic. MethodsCross-sectional data from 3,150 adults (18-99 years old), 59.8% female, were analyzed from November to December 2020. Self-reported age, gender, type of disability (i.e., physical, visual, hearing, intellectual, or mixed), socio-economic status, area and zone of residence, and physical activity levels (0 min/week, &lt; 150 min/week, &gt;= 150 min/week) were obtained. Results11.9% of the participants were classified as active (&gt;= 150 min/week), and 62.6% declared no involvement in physical activity. A larger proportion of females (61.7%) did not meet the current guidelines (&gt;= 150 min/week of physical activity) in comparison with males (p &lt; 0.001). Participants with visual and hearing disabilities were more likely to be active than those with other types of disabilities. Those living in the central and southern regions of Chile were more likely to be physically active than those from the northern region. Also, older participants, women, and those from lower socio-economic statuses were less likely to meet the physical activity guidelines. ConclusionAlarmingly, nine out of ten participants were categorized as physically inactive, particularly women, older adults, and those with a low socioeconomic status. If the pandemic context moderated, the considerable prevalence of reduced physical activity levels deserves future exploration. Health promotion initiatives should consider these aspects, emphasizing inclusive environments and increasing opportunities to favor healthy behaviors, countering the COVID-19 effects.</t>
  </si>
  <si>
    <t>Cristi-Montero, Carlos/AAE-4945-2020; Aguilar-Farias, Nicolas/V-2742-2018; ALVAREZ, CRISTIAN/S-8150-2019; Ramirez-Campillo, Rodrigo/M-1258-2016; Henríquez, Matías/IWD-6385-2023; Reina, Raul/F-6888-2016; Ferrari, Gerson/HHM-6173-2022; Ferrari, Gerson/P-1152-2014</t>
  </si>
  <si>
    <t>Alvarez, Cristian/0000-0003-4783-9981; Henriquez, Matias/0000-0003-4392-1099; Ramirez-Campillo, Rodrigo/0000-0003-2035-3279; Ferrari, Gerson/0000-0003-3177-6576</t>
  </si>
  <si>
    <t>JUN 2</t>
  </si>
  <si>
    <t>10.3389/fpubh.2023.1090050</t>
  </si>
  <si>
    <t>WOS:001008462700001</t>
  </si>
  <si>
    <t>Valencia, S; Trujillo, N; Trujillo, S; Acosta, A; Rodríguez, M; Ugarriza, JE; López, JD; García, AM; Parra, MA</t>
  </si>
  <si>
    <t>Valencia, S.; Trujillo, N.; Trujillo, S.; Acosta, A.; Rodriguez, M.; Ugarriza, J. E.; Lopez, J. D.; Garcia, A. M.; Parra, M. A.</t>
  </si>
  <si>
    <t>Neurocognitive reorganization of emotional processing following a socio-cognitive intervention in Colombian ex-combatants</t>
  </si>
  <si>
    <t>Ex-combatants often exhibit atypical Emotional Processing (EP) such as reduced emphatic levels and higher aggressive attitudes. Social Cognitive Training (SCT) addressing socio-emotional components powerfully improve social interaction among Colombian ex-combatants. However, with narrow neural evidence, this study offers a new testimony. A sample of 28 ex-combatants from Colombian illegal armed groups took part in this study, split into 15 for SCT and 13 for the conventional program offered by the Governmental Reintegration Route. All of them were assessed before and after the intervention with a protocol that included an EP task synchronized with electroencephalographic recordings. We drew behavioral scores and brain connectivity (Coherency) metrics from task performance. Behavioral scores yielded no significant effects. Increased post-intervention connectivity in the delta band was observed during negative emotional processing only SCT group. Positive emotions exposed distinctive gamma band connectivity that differentiate groups. These results suggest that SCT can trigger covert neurofunctional reorganization in ex-combatants embarked on the reintegration process even when overt behavioral improvements are not yet apparent. Such covert functional changes may be the neural signature of compensatory mechanisms necessary to reshape behaviors adaptively. This novel framework may inspire cutting-edge translational research at the crossing of neuroscience, sociology, and public policy-making.</t>
  </si>
  <si>
    <t>Parra, Mario/C-6135-2009; Lopez Hincapie, Jose/N-9431-2019; García, Adolfo/E-7150-2017; Lopez, Jose David/N-3738-2015; Ugarriza, Juan E./G-6951-2016</t>
  </si>
  <si>
    <t>Lopez, Jose David/0000-0003-2213-1186; Ugarriza, Juan E./0000-0001-8559-268X; Parra Rodriguez, Mario Alfredo/0000-0002-2412-648X</t>
  </si>
  <si>
    <t>10.1080/17470919.2020.1735511</t>
  </si>
  <si>
    <t>WOS:000519312800001</t>
  </si>
  <si>
    <t>Otto-Yáñez, M; Torres-Castro, R; Barros-Poblete, M; Barros, M; Valencia, C; Campos, A; Jadue, L; Puppo, H; Serón, P; Vilaro, J</t>
  </si>
  <si>
    <t>Otto-Yanez, Matias; Torres-Castro, Rodrigo; Barros-Poblete, Marisol; Barros, Marcela; Valencia, Carola; Campos, Alex; Jadue, Leticia; Puppo, Homero; Seron, Pamela; Vilaro, Jordi</t>
  </si>
  <si>
    <t>One-minute sit-to-stand test: Reference values for the Chilean population</t>
  </si>
  <si>
    <t>Introduction The one-minute sit to stand test (1min-STST) is a field test used to assess functional capacity. It is easily implementable and of significant clinical utility; however, no reference values are currently available for the Chilean population. The objective of this study was to establish reference values for the 1min-STST in a healthy Chilean population.Methods A multicenter cross-sectional study involving data collection from six locations in Chile was conducted. Healthy adults between 18 and 80 years of age were recruited. The anthropometric variables, levels of physical activity, smoking status, Borg scale ratings, and number of repetitions during the 1min-STST were recorded. Reference values were determined according to sex and age range.Results Four hundred ninety-nine healthy subjects (57.5% women, n = 287; median height, 1.63 (0.14) m; weight, 72.8 (20) kg; average BMI, 27.3 +/- 4.1 kg/m2) were included in the study. The median (and the lower limit of normality (LLN) values) for the 1min-STST in men ranged from 18-29 years, with 38 (LLN 27) repetitions and 23 (LLN 15) repetitions for 70-80 years. For women aged 18-29 years, 38 (LLN 28) repetitions were performed, and for women aged 70-80 years, 24 (LLN 17) repetitions were performed.Conclusions This study established reference values for the healthy adult Chilean population.</t>
  </si>
  <si>
    <t>Seron, Pamela/AAN-3304-2021; Torres-Castro, Rodrigo/E-3630-2014</t>
  </si>
  <si>
    <t>Torres-Castro, Rodrigo/0000-0001-7974-4333; Otto Yanez, Matias/0000-0001-5784-275X; Vilaro, Jordi/0000-0002-2150-8992</t>
  </si>
  <si>
    <t>JAN 29</t>
  </si>
  <si>
    <t>e0317594</t>
  </si>
  <si>
    <t>10.1371/journal.pone.0317594</t>
  </si>
  <si>
    <t>WOS:001410806300032</t>
  </si>
  <si>
    <t>Gonzalez, A; Simon, F; Achiardi, O; Vilos, C; Cabrera, D; Cabello-Verrugio, C</t>
  </si>
  <si>
    <t>Gonzalez, Andrea; Simon, Felipe; Achiardi, Oscar; Vilos, Cristian; Cabrera, Daniel; Cabello-Verrugio, Claudio</t>
  </si>
  <si>
    <t>The Critical Role of Oxidative Stress in Sarcopenic Obesity</t>
  </si>
  <si>
    <t>OXIDATIVE MEDICINE AND CELLULAR LONGEVITY</t>
  </si>
  <si>
    <t>Sarcopenic obesity (SO) is a combination of obesity and sarcopenia that primarily develops in older people. Patients with SO have high fat mass, low muscle mass, low muscle strength, and low physical function. SO relates to metabolic syndrome and an increased risk of morbimortality. The prevalence of SO varies because of lacking consensus criteria regarding its definition and the methodological difficulty in diagnosing sarcopenia and obesity. SO includes systemic alterations such as insulin resistance, increased proinflammatory cytokines, age-associated hormonal changes, and decreased physical activity at pathophysiological levels. Interestingly, these alterations are influenced by oxidative stress, which is a critical factor in altering muscle function and the generation of metabolic dysfunctions. Thus, oxidative stress in SO alters muscle mass, the signaling pathways that control it, satellite cell functions, and mitochondrial and endoplasmic reticulum activities. Considering this background, our objectives in this review are to describe SO as a highly prevalent condition and look at the role of oxidative stress in SO pathophysiology.</t>
  </si>
  <si>
    <t>Vilos, Cristian/KPA-9958-2024; Achiardi, Oscar/LFU-4968-2024; Cabello-Verrugio, Claudio/AAD-1454-2020; Gonzalez, Andrea/HGU-7618-2022; CABRERA, DANIEL/AAR-5027-2020</t>
  </si>
  <si>
    <t>Vilos, Cristian/0000-0001-5619-3348; Cabello-Verrugio, Claudio/0000-0001-7273-2102; Cabrera, Daniel/0000-0001-9634-725X; Achiardi, Oscar/0000-0003-3623-0994; Gonzalez, Andrea/0000-0001-5003-7109; Simon, Felipe/0000-0002-2653-9798</t>
  </si>
  <si>
    <t>1942-0900</t>
  </si>
  <si>
    <t>1942-0994</t>
  </si>
  <si>
    <t>OCT 12</t>
  </si>
  <si>
    <t>10.1155/2021/4493817</t>
  </si>
  <si>
    <t>WOS:000713203400002</t>
  </si>
  <si>
    <t>Hermosilla-Ibáñez, P; Car, PE; Vega, A; Costamagna, J; Caruso, F; Pivan, JY; Le Fur, E; Spodine, E; Venegas-Yazigi, D</t>
  </si>
  <si>
    <t>Hermosilla-Ibanez, Patricio; Car, Pierre Emmanuel; Vega, Andres; Costamagna, Juan; Caruso, Francesco; Pivan, Jean-Yves; Le Fur, Eric; Spodine, Evgenia; Venegas-Yazigi, Diego</t>
  </si>
  <si>
    <t>New structures based on the mixed valence polyoxometalate cluster [V12B18O60H6]n-</t>
  </si>
  <si>
    <t>CRYSTENGCOMM</t>
  </si>
  <si>
    <t>Hydrothermal synthesis was used to obtain four new crystalline lattices derived from the functionalization of the [V12B18O60H6](n-) cluster: Na-8(H3O){[Ni(H2O)(5)][V12B18O60H6]}center dot 12.5H(2)O (1), Na-5 (H3O)(4){[Ni (H2O)(3)(en)][V12B18O60H6]}center dot 9H(2)O (2), and Na-9(H3O){Zn-0.5[V12B18O60H6]}center dot 11H(2)O (3), [Hen][H(2)en]{[Zn(en)(2)](3) [V12B18O60H6]}center dot 3H(2)O (4). All four compounds crystallize in the space group C2/c. Compounds (1) (2) and (4) are 0D species, while for (3) there is some degree of covalent connectivity between the anionic units, due to the presence of Zn-II cations with partial occupation between them. On the basis of structural data and BVS calculations, these functionalized cluster species present mixed-valence ratios of 11V(IV)/1V(V) for (1), (2) and (3) and 9V(IV)/3V(V) for compound (4). Compounds (1), (2) and (3) present sodium and hydronium ions in the crystalline lattice, while protonated ethylenediamine is observed in compound (4). These cations balance the negative charge of the corresponding clusters and stabilize the crystalline lattice by electrostatic interactions. In the studied compounds, Ni-II ions coordinate to the vanadyl oxygen atoms, whereas the Zn-II cations coordinate both to the vanadyl oxygen atoms and to the oxygen atoms bonded to boron centres. The electronic spectra in the low energy range are dominated by the IVCT phenomenon, since the functionalization of the cluster [V12B18O60H6](n-) by different transition metal ions does not affect the observed absorption bands.</t>
  </si>
  <si>
    <t>Vega, Andres/B-2122-2010; Hermosilla-Ibanez, Patricio/Y-7454-2018; Venegas-Yazigi, Diego/C-5022-2009</t>
  </si>
  <si>
    <t>Hermosilla-Ibanez, Patricio/0000-0002-2272-9690; Venegas-Yazigi, Diego/0000-0001-7816-2841; Vega, Andres/0000-0001-6501-4161</t>
  </si>
  <si>
    <t>1466-8033</t>
  </si>
  <si>
    <t>10.1039/c2ce25436k</t>
  </si>
  <si>
    <t>WOS:000306972100036</t>
  </si>
  <si>
    <t>Albarracín, R; Zoccali, M; Carvajal, JO; Rojas-Arriagada, A; Minniti, JH; Catelan, M; De Leo, M; Gran, F; Ramos, RC; Navarro, AV; Salvo-Guajardo, C</t>
  </si>
  <si>
    <t>Albarracin, R.; Zoccali, M.; Carvajal, J. Olivares; Rojas-Arriagada, A.; Minniti, J. H.; Catelan, M.; De Leo, M.; Gran, F.; Ramos, R. Contreras; Navarro, a. Valenzuela; Salvo-Guajardo, C.</t>
  </si>
  <si>
    <t>Unveiling VVV/WISE Mira variables on the far side of the Galactic disk Distances, kinematics, and a new extinction law</t>
  </si>
  <si>
    <t>Context. The structure and kinematics of the Milky Way disk are largely inferred from the solar vicinity. To gain a comprehensive understanding, it is essential to find reliable tracers in less explored regions such as the bulge and the far side of the disk. Mira variables, which are well studied and bright standard candles, offer an excellent opportunity to trace intermediate and old populations in these complex regions. Aims. We aim to isolate a clean sample of Miras in the VISTA Variables in the Via Lactea survey using Gaussian process algorithms. This sample will be used to study intermediate and old age populations in the Galactic bulge and far disk. Methods. Near- and mid-infrared time-series photometry were processed using Gaussian Process algorithms to identify Mira variables and model their light curves. We calibrated selection criteria with a visually inspected sample to create a high-purity sample of Miras, integrating multiband photometry and kinematic data from proper motions. Results. We present a catalog of 3602 Mira variables. By analyzing photometry, we classify them by O-rich or C-rich surface chemistry and derive selective-to-total extinction ratios of A(Ks)/E(J - K-s) = 0.471 +/- 0.01 and A(Ks)/E(H - K-s) = 1.320 +/- 0.020. Using the Mira period-age relation, we find evidence supporting the inside-out formation of the Milky Way disk. The distribution of proper motions and distances aligns with the Galactic rotation curve and disk kinematics. We extend the rotation curve up to R-GC similar to 17 kpc and find no strong evidence of the nuclear stellar disk in our Mira sample. This study constitutes the largest catalog of variable stars on the far side of the Galactic disk to date.</t>
  </si>
  <si>
    <t>Ramos, Roberto/JFS-2543-2023; Catelan, Márcio/JDV-7579-2023; Gran, Felipe/LLM-7798-2024</t>
  </si>
  <si>
    <t>Albarracin, Ricardo/0000-0002-5357-533X</t>
  </si>
  <si>
    <t>DEC 24</t>
  </si>
  <si>
    <t>A28</t>
  </si>
  <si>
    <t>10.1051/0004-6361/202452041</t>
  </si>
  <si>
    <t>WOS:001383026800011</t>
  </si>
  <si>
    <t>Delpiano, CA; Vargas, S; Ovalle, JF; Cáceres, C; Zorondo-Rodríguez, F; Miranda, A; Pohl, N; Rojas, C; Squeo, FA</t>
  </si>
  <si>
    <t>Delpiano, Cristian A.; Vargas, Solange; Ovalle, Juan F.; Caceres, Catalina; Zorondo-Rodriguez, Francisco; Miranda, Alejandro; Pohl, Nelida; Rojas, Claudia; Squeo, Francisco A.</t>
  </si>
  <si>
    <t>Unveiling emerging interdisciplinary research challenges in the highly threatened sclerophyllous forests of central Chile (vol 97, 7, 2024)</t>
  </si>
  <si>
    <t>REVISTA CHILENA DE HISTORIA NATURAL</t>
  </si>
  <si>
    <t>Vargas, Solange/JAC-3024-2023; Zorondo-Rodríguez, Francisco/GWU-8371-2022</t>
  </si>
  <si>
    <t>Ovalle, Juan F./0000-0002-8487-3487</t>
  </si>
  <si>
    <t>0716-078X</t>
  </si>
  <si>
    <t>0717-6317</t>
  </si>
  <si>
    <t>10.1186/s40693-024-00134-8</t>
  </si>
  <si>
    <t>WOS:001312268900001</t>
  </si>
  <si>
    <t>Guzmán-Muñoz, E; Mendez-Rebolledo, G; Núñez-Espinosa, C; Valds-Badilla, P; Monsalves-Alvarez, M; Delgado-Floody, P; Herrera-Valenzuela, T</t>
  </si>
  <si>
    <t>Guzman-Munoz, Eduardo; Mendez-Rebolledo, Guillermo; Nunez-Espinosa, Cristian; Valdes-Badilla, Pablo; Monsalves-Alvarez, Matias; Delgado-Floody, Pedro; Herrera-Valenzuela, Tomas</t>
  </si>
  <si>
    <t>Anthropometric Profile and Physical Activity Level as Predictors of Postural Balance in Overweight and Obese Children</t>
  </si>
  <si>
    <t>BEHAVIORAL SCIENCES</t>
  </si>
  <si>
    <t>Overweightness and obesity can negatively influence many activities, including postural balance and locomotion, increasing predisposition to injury and risk of falls due to limitations on the biomechanics of daily living. The present study aimed to determine the influence of the anthropometric profile and physical activity level (PAL) on the postural balance of overweight and obese children. The sample included 387 schoolchildren (216 boys and 171 girls). The variables of the anthropometric profile studied were body mass, biped height, BMI, waist circumference, waist-to-hip ratio (WHR), summation of folds, body composition, and somatotype. PAL was measured using the PAQ-C questionnaire. Static and dynamic postural balance were measured through an open-eye (OE) and closed-eye (CE) posturographic test and the SEBTm, respectively. For static balance, the significant models were for mediolateral velocity (R-2 = 0.42 in OA; R-2 = 0.24 in OC), anteroposterior velocity (R-2 = 0.21 in OA; R-2 = 0.27 in OC), and mean velocity (R-2 = 0.27 in OA; R-2 = 0.46 in OC), where the predictors of low performance were younger age, male sex, overweight/obese nutritional status, greater thickness of skin folds, less tendency to mesomorphy, and greater fat mass. On the other hand, for dynamic postural balance, the significant models were observed in the previous direction (R-2 = 0.39), posteromedial (R-2 = 0.57), and posterolateral (R-2 = 0.56), where the variables that predict a low performance were low PAL, overweight/obese nutritional status, and high WHR. Overweight and obese children presented a deficit in static and dynamic postural balance, enhanced by variables such as gender, age, PAL, and anthropometric characteristics related to adiposity.</t>
  </si>
  <si>
    <t>Núñez-Espinosa, Cristian/ADF-6181-2022; Herrera-Valenzuela, Tomas/L-1819-2019; Monsalves-Alvarez, Matias/K-7610-2019; Monsalves-Alvarez, Matias/A-6303-2017; Delgado-Floody, Pedro/D-9779-2019</t>
  </si>
  <si>
    <t>Herrera-Valenzuela, Tomas/0000-0002-5219-5896; Valdes-Badilla, Pablo/0000-0002-3948-8280; Nunez Espinosa, Cristian Andres/0000-0002-9896-7062; Monsalves-Alvarez, Matias/0000-0003-3163-3911; Delgado-Floody, Pedro/0000-0001-9952-993X; Guzman-Munoz, Eduardo/0000-0001-7001-9004</t>
  </si>
  <si>
    <t>2076-328X</t>
  </si>
  <si>
    <t>10.3390/bs13010073</t>
  </si>
  <si>
    <t>WOS:000916715300001</t>
  </si>
  <si>
    <t>Perez, OD; Vogel, EH; Narasiwodeyar, S; Soto, FA</t>
  </si>
  <si>
    <t>Perez, Omar D.; Vogel, Edgar H.; Narasiwodeyar, Sanjay; Soto, Fabian A.</t>
  </si>
  <si>
    <t>Subsampling of cues in associative learning</t>
  </si>
  <si>
    <t>LEARNING &amp; MEMORY</t>
  </si>
  <si>
    <t>Theories of learning distinguish between elemental and configural stimulus processing depending on whether stimuli are processed independently or as whole configurations. Evidence for elemental processing comes from findings of summation in animals where a compound of two dissimilar stimuli is deemed to be more predictive than each stimulus alone, whereas configural processing is supported by experiments using similar stimuli in which summation is not found. However, in humans the summation effect is robust and impervious to similarity manipulations. In three experiments in human predictive learning, we show that summation can be obliterated when partially reinforced cues are added to the summands in training and tests. This lack of summation only holds when the partially reinforced cues are similar to the reinforced cues (experiment 1) and seems to depend on participants sampling only the most salient cue in each trial (experiments 2a and 2b) in a sequential visual search process. Instead of attributing our and others' instances of lack of summation to the customary idea of configural processing, we offer a formal subsampling rule that might be applied to situations in which the stimuli are hard to parse from each other.</t>
  </si>
  <si>
    <t>vogel, edgar/KWT-7590-2024; Perez, Omar/IAO-4501-2023</t>
  </si>
  <si>
    <t>Soto, Fabian/0000-0002-1001-679X; Vogel, Edgar/0000-0001-6999-6991; Perez, Omar David/0000-0002-4168-5435</t>
  </si>
  <si>
    <t>1072-0502</t>
  </si>
  <si>
    <t>1549-5485</t>
  </si>
  <si>
    <t>10.1101/lm.053602.122</t>
  </si>
  <si>
    <t>WOS:000828716200001</t>
  </si>
  <si>
    <t>Garcia-Hermoso, A; Tordecilla-Sanders, A; Correa-Bautista, JE; Peterson, MD; Izquierdo, M; Prieto-Benavides, D; Sandoval-Cuellar, C; González-Ruíz, K; Ramírez-Vélez, R</t>
  </si>
  <si>
    <t>Garcia-Hermoso, Antonio; Tordecilla-Sanders, Alejandra; Enrique Correa-Bautista, Jorge; Peterson, Mark D.; Izquierdo, Mikel; Prieto-Benavides, Daniel; Sandoval-Cuellar, Carolina; Gonzalez-Ruiz, Katherine; Ramirez-Velez, Robinson</t>
  </si>
  <si>
    <t>Handgrip strength attenuates the adverse effects of overweight on cardiometabolic risk factors among collegiate students but not in individuals with higher fat levels</t>
  </si>
  <si>
    <t>The aims of this study are to (i) examine a clustered metabolic syndrome composite score (MetScore) and fatness among college students across body mass index (BMI) categories, and (ii) determine whether fit individuals have lower MetScores, fewer individual metabolic syndrome components, and lower fatness than unfit individuals across BMI categories. A total of 1,795 participants aged &gt;18 years who participated in The FUPRECOL Study were selected for the present analyses. Handgrip strength was tested by a grip dynamometer and used to classify adults as fit or unfit. Among all participants, MetScore, percentage of body fat, and visceral adiposity increased linearly across the BMI categories among college students (all P &lt; 0.001). Individuals who were overweight and fit had a lower MetScore (-0.6 SD; P =0.02), body fat percentage (-2.6%; P &lt; 0.001) and visceral adiposity (-0.2; P = 0.01) than unfit peers. Moderately fit obese individuals had significantly lower visceral fat levels than unfit obese peers (-3.0; P = 0.03). These results suggest that having adequate handgrip strength-a proxy of overall strength capacity-may attenuate obesity-related cardiometabolic risk. Moreover, weight loss should be recommended to all individuals with obesity, even among those who are currently considered fit.</t>
  </si>
  <si>
    <t>Peterson, Mark/ABD-3853-2020; García-Hermoso, Antonio/ADU-2591-2022; Correa-Bautista, Jorge Enrique/JDD-3131-2023; Sandoval-Cuellar, Carolina/AAP-8957-2021; González-Ruíz, Katherine/CAA-4624-2022; Izquierdo, Mikel/A-4894-2010; Ramirez-Velez, Robinson/D-5311-2016; Correa-Bautista, Jorge Enrique/N-2741-2015; Tordecilla-Sanders, Alejandra/O-6276-2017; Garcia-Hermoso, Antonio/P-1857-2017</t>
  </si>
  <si>
    <t>Izquierdo, Mikel/0000-0002-1506-4272; Ramirez-Velez, Robinson/0000-0003-3075-6960; Correa-Bautista, Jorge Enrique/0000-0002-0646-2316; Gonzalez-Ruiz, Katherine/0000-0001-7518-0761; Tordecilla-Sanders, Alejandra/0000-0002-7461-8124; Sandoval-Cuellar, Carolina/0000-0003-1576-4380; Garcia-Hermoso, Antonio/0000-0002-1397-7182; Peterson, Mark/0000-0002-9861-4275</t>
  </si>
  <si>
    <t>MAY 6</t>
  </si>
  <si>
    <t>10.1038/s41598-019-43471-5</t>
  </si>
  <si>
    <t>WOS:000466881600003</t>
  </si>
  <si>
    <t>Marques, A; Nascimento, MM; Ferrari, G; Gouveia, ER; Almanzar, PC; Peralta, M</t>
  </si>
  <si>
    <t>Marques, Adilson; Nascimento, Marcelo Maio; Ferrari, Gerson; Gouveia, elvio R.; Almanzar, Paola Cortes; Peralta, Miguel</t>
  </si>
  <si>
    <t>Individual and Combined Association Between Healthy Behaviors and All-Cause and Premature Mortality: A 22-Year Follow-up Cohort</t>
  </si>
  <si>
    <t>MAYO CLINIC PROCEEDINGS</t>
  </si>
  <si>
    <t>Objective: To analyze the impact of individual and combined healthy behaviors on all-cause and premature mortality risk in Mexican adults. Methods: Data on physical activity, fruit and vegetable intake, sleep hours, alcohol intake, and smoking from 95,142 adults from the MCPS (Mexico City Prospective Study) were used. All-cause mortality was monitored for up to 22 years, until December 31, 2020. Cox proportional hazards regression was used to assess mortality risk. Results: Physical activity (HR, 0.88; 95% CI, 0.84 to 0.92), fruit and vegetable intake (HR, 0.94; 95% CI, 0.91 to 0.98), no excessive alcohol consumption (HR, 0.86; 95% CI, 0.81 to 0.92), and not smoking (HR, 0.93; 95% CI, 0.89 to 0.97) were individually associated with lower mortality. All-cause mortality risk decreased progressively by 8% (95% CI: 0.86 to 0.99) to 29% (95% CI, 0.63 to 0.81) for each additional healthy behavior attained. Similarly, premature mortality risk decreased by 13% (95% CI, 0.80 to 0.95) to 30% (95% CI, 0.59 to 0.83). Conclusion: Over 22 years, adopting a healthier life was linked with lower all-cause and premature mortality risk, decreasing with the clustering of one additional healthy behavior. Law and policy changes as well as efforts to address the root causes of not adopting healthy behaviors in low- and middle-income countries, such as creating structural conditions for people to engage in physical activity or strong social marketing to raise awareness of the daily consumption of fruits and vegetables, are needed for improving health and delaying mortality. (c) 2024 Mayo Foundation for Medical Education and Research. Published by Elsevier Inc. All rights are reserved, including those for text and data mining, AI training, and similar technologies. Mayo Clin Proc. 2025;100(3):478-487</t>
  </si>
  <si>
    <t>Ferrari, Gerson/HHM-6173-2022; Gouveia, Elvio/F-9156-2015; Marques, Adilson/K-4529-2014; Peralta, Miguel/H-1666-2017</t>
  </si>
  <si>
    <t>0025-6196</t>
  </si>
  <si>
    <t>1942-5546</t>
  </si>
  <si>
    <t>10.1016/j.mayocp.2024.07.025</t>
  </si>
  <si>
    <t>WOS:001438708500001</t>
  </si>
  <si>
    <t>Cordero, RR; Feron, S; Sepúlveda, E; Damiani, A; Jorquera, J; Rowe, PM; Carrasco, J; Rayas, JA; Llanillo, P; MacDonell, S; Seckmeyer, G</t>
  </si>
  <si>
    <t>Cordero, Raul R.; Feron, Sarah; Sepulveda, Edgardo; Damiani, Alessandro; Jorquera, Jose; Rowe, Penny M.; Carrasco, Jorge; Rayas, Juan A.; Llanillo, Pedro; MacDonell, Shelley; Seckmeyer, Gunther</t>
  </si>
  <si>
    <t>Ground-based measurements of the weather-driven sky radiance distribution in the Southern Hemisphere</t>
  </si>
  <si>
    <t>The angular distribution of the sky radiance determines the energy generation of solar power technologies as well as the ultraviolet (UV) doses delivered to the biosphere. The sky-diffuse radiance distribution depends on the wavelength, the solar elevation, and the atmospheric conditions. Here, we report on ground-based measurements of the all-sky radiance at three sites in the Southern Hemisphere across a transect of about 5,000 km: Santiago (33 degrees S, a mid-latitude city of 6 million inhabitants with endemic poor air quality), King George Island (62 degrees S, at the northern tip of the Antarctic Peninsula, one of the cloudiest regions on Earth), and Union Glacier (79 degrees S, a snow-covered glacier in the vast interior of Western Antarctica). The sites were strategically selected for studying the influence of urban aerosols, frequent and thick clouds, and extremely high albedo on the sky-diffuse radiance distribution. Our results show that, due to changing site-specific atmospheric conditions, the characterization of the weather-driven sky radiance distribution may require ground-based measurements.</t>
  </si>
  <si>
    <t>Rayas, Juan/CAG-8266-2022; Llanillo, Pedro/L-5877-2015; Damiani, Alessandro/X-4677-2019; MacDonell, Shelley/J-2480-2016; Cordero, Raul/M-7979-2017; Carrasco, Jorge/K-2949-2014</t>
  </si>
  <si>
    <t>Damiani, Alessandro/0000-0003-3014-6193; Carrasco, Jorge/0000-0003-2154-5483; Feron, Sarah/0000-0002-0572-5639; Cordero, Raul R./0000-0001-7607-7993; MacDonell, Shelley/0000-0001-9641-4547</t>
  </si>
  <si>
    <t>JUN 14</t>
  </si>
  <si>
    <t>e0286397</t>
  </si>
  <si>
    <t>10.1371/journal.pone.0286397</t>
  </si>
  <si>
    <t>WOS:001010646600029</t>
  </si>
  <si>
    <t>Streib, S; Vidal-Silva, N; Shen, K; Bauer, GEW</t>
  </si>
  <si>
    <t>Streib, Simon; Vidal-Silva, Nicolas; Shen, Ka; Bauer, Gerrit E. W.</t>
  </si>
  <si>
    <t>Magnon-phonon interactions in magnetic insulators</t>
  </si>
  <si>
    <t>We address the theory of magnon-phonon interactions and compute the corresponding quasiparticle and transport lifetimes in magnetic insulators, with a focus on yttrium iron garnet at intermediate temperatures from anisotropy- and exchange-mediated magnon-phonon interactions, the latter being derived from the volume dependence of the Curie temperature. We find in general weak effects of phonon scattering on magnon transport and the Gilbert damping of the macrospin Kittel mode. The magnon transport lifetime differs from the quasiparticle lifetime at shorter wavelengths.</t>
  </si>
  <si>
    <t>Streib, Simon/AAC-3654-2022; Shen, Ka/T-1808-2019; Vidal Silva, Nicolas/IAN-0226-2023; Bauer, Gerrit/F-8273-2010</t>
  </si>
  <si>
    <t>Vidal Silva, Nicolas/0000-0002-3717-3816; Shen, Ka/0000-0002-0842-5711; Bauer, Gerrit/0000-0002-3615-8673; Streib, Simon/0000-0002-2414-1524</t>
  </si>
  <si>
    <t>MAY 28</t>
  </si>
  <si>
    <t>10.1103/PhysRevB.99.184442</t>
  </si>
  <si>
    <t>WOS:000469325500012</t>
  </si>
  <si>
    <t>Venegas-Yazigi, D; Muñoz, K; Saldías, M; de la Barra, KV; Vega, A; Paredes-García, V; Gómez-García, CJ; Le Fur, E; Cañón-Mancisidor, W; Spodine, E</t>
  </si>
  <si>
    <t>Venegas-Yazigi, D.; Munoz, K.; Saldias, M.; Valdes de la Barra, K.; Vega, A.; Paredes-Garcia, V.; Gomez-Garcia, C. J.; Le Fur, E.; Canon-Mancisidor, W.; Spodine, E.</t>
  </si>
  <si>
    <t>Magnetic properties of vanadium(IV)-based extended systems: [(VO)3(μ-PO4)2(2,2′-bpy)(μ-OH2)]•1/3H2O and (VO)2H4P2O9</t>
  </si>
  <si>
    <t>The magnetic properties of [(VO)(3)(mu-PO4)(2)(2,2'-bpy)(mu-OH2)]1/3H(2)O (1) and (VO)(2)H4P2O9 (2), a tubular and a layered vanadium(IV) phosphates containing triply oxido bridged V-IV dimers, are analyzed considering the Bleaney-Bowers S = 1/2 dimer model. In compound 1 the presence of an additional V-IV connected with the V-IV dimers through mu(1,2)-PO4 (3) bridges is described with a Curie-Weiss type correction. This model reproduces the magnetic properties of compound 1 with g = 1.956, J(dim) = -102.1 cm (1), theta = -0.4 cm (1) and N alpha = 278 x 10 (6) emu mol (1). In compound 2, the presence of a small percentage of paramagnetic impurity has to be considered to account for the divergence of chi(m) at low temperatures. This simple model reproduces the magnetic data of compound 2 with g = 1.99, J = -62.4 cm (1) and a 1.2% of monomeric impurity. The moderate antiferromagnetic coupling found in the triply oxido bridges V-IV dimers is justified from the structural parameters of the bridge. These studies confirm that the coupling through -O-P-O-bridges is antiferromagnetic and relatively weak, as well as previous magneto-structural correlations in this kind of oxido bridges. DFT calculations on a dinuclear fragment model for the two systems gave the following values of J(calc) = -72.4 cm (1) for 1 and J(calc) = -5.2 cm (1) for 2. These values reproduce the antiferromagnetic nature of the superexchange interactions between the V-IV centers. (C) 2012 Elsevier B. V. All rights reserved.</t>
  </si>
  <si>
    <t>Vega, Andres/B-2122-2010; Paredes-Garcia, Veronica/C-4415-2011; Muñoz-Becerra, Karina/GPP-1386-2022; Venegas-Yazigi, Diego/C-5022-2009; Gomez Garcia, Carlos Jose/A-5626-2009; Canon-Mancisidor, Walter/K-8764-2014</t>
  </si>
  <si>
    <t>Venegas-Yazigi, Diego/0000-0001-7816-2841; Vega, Andres/0000-0001-6501-4161; Gomez Garcia, Carlos Jose/0000-0002-0015-577X; Canon-Mancisidor, Walter/0000-0003-1703-8729; Munoz-Becerra, Karina/0000-0001-9882-6342</t>
  </si>
  <si>
    <t>10.1016/j.ica.2012.10.024</t>
  </si>
  <si>
    <t>WOS:000316740200023</t>
  </si>
  <si>
    <t>Rezaeiye, PP; Razeghinia, K; Alzubi, JA; Gheisari, M; Javadpour, A; Bamakan, SMH; Fernández-Campusano, C; Liu, Y</t>
  </si>
  <si>
    <t>Rezaeiye, Payam Porkar; Razeghinia, Kazem; Alzubi, Jafar A.; Gheisari, Mehdi; Javadpour, Amir; Bamakan, Seyed Mojtaba Hosseini; Fernandez-Campusano, Christian; Liu, Yang</t>
  </si>
  <si>
    <t>Exploring a Mesh-Hub-Based Wireless Sensor Network for Smart Home Electrical Monitoring</t>
  </si>
  <si>
    <t>WIRELESS PERSONAL COMMUNICATIONS</t>
  </si>
  <si>
    <t>The method of indeterminate monitoring of household appliances involves analyzing voltage and current signals detected at the power supply. Each electrical appliance exhibits a distinct consumption pattern (e.g., vacuum cleaners, ovens, etc.), including their switch-on and switch-off timings. The monitoring system determines these consumption patterns of electric appliances. This study introduces a wireless sensor network designed for subtle monitoring of household appliance consumption. This study addresses the challenges and issues concerning wireless sensor networks, alongside the notable advantages and capabilities in the areas mentioned above, such as network structure, performance methods, monitoring types, and energy consumption factor analysis. Through empirical investigation and scientific discourse, the study's findings indicate that a higher number of nodes and windows in a building correlates with a reduced rate of energy transfer. Conversely, employing fewer nodes and windows increases the speed at which energy is transferred.</t>
  </si>
  <si>
    <t>Alzubi, Jafar/G-7623-2017; Rezaeiye, Payam/AAO-2470-2021; Javadpour, Amir/AEM-2932-2022; Gheisari, Mehdi/Y-4681-2018; Fernández-Campusano, Christian/M-8749-2018; Bamakan, Seyed Mojtaba Hosseini/AAR-5355-2020</t>
  </si>
  <si>
    <t>Fernandez-Campusano, Christian/0000-0001-7033-4178</t>
  </si>
  <si>
    <t>0929-6212</t>
  </si>
  <si>
    <t>1572-834X</t>
  </si>
  <si>
    <t>10.1007/s11277-023-10786-6</t>
  </si>
  <si>
    <t>WOS:001161339400001</t>
  </si>
  <si>
    <t>Calderon, R; Jara, C; Albornoz, F; Palma, P; Arancibia-Miranda, N; Karthikraj, R; Zhu, H</t>
  </si>
  <si>
    <t>Calderon, R.; Jara, C.; Albornoz, F.; Palma, P.; Arancibia-Miranda, N.; Karthikraj, R.; Zhu, H.</t>
  </si>
  <si>
    <t>Accumulation and distribution of perchlorate in spinach and chard growing under greenhouse: Implications for food safety in baby foods commodities</t>
  </si>
  <si>
    <t>FOOD CHEMISTRY</t>
  </si>
  <si>
    <t>Very little information is available with regards to the bioavailability of perchlorate in spinach or chard used in the production of baby foods commodities. In the present study, the uptake and accumulation of perchlorate were compared under two different treatments (T1: 1 and T2: 10 mg L-1 ClO4- ). Our results indicate that spinach has a higher capacity to accumulate perchlorate than chard (p 0.0185). Concentrations of perchlorate in leaves, stems and roots (leaves 0.0001) as vegetable growing and treatment (T2 T1). No significant differences were found between the control and T1. The daily intake for perchlorate (control) is below the proposed international standard, however, it was exceeded in T1 and T2. The results suggested that perchlorate is actively accumulate in high concentrations in vegetables used in the production of baby food commodities and the exposure of perchlorate via the food consumption (baby foods) was evaluated as not safe.</t>
  </si>
  <si>
    <t>Arancibia-Miranda, Nicolás/I-6743-2013; Calderon, Raul/AAP-5930-2020; Albornoz, Francisco/I-6171-2016</t>
  </si>
  <si>
    <t>Albornoz, Francisco/0000-0003-4434-7631; Calderon Araya, Raul Alexis/0000-0002-1094-9661; Palma, Paulina/0000-0001-9156-6269</t>
  </si>
  <si>
    <t>0308-8146</t>
  </si>
  <si>
    <t>1873-7072</t>
  </si>
  <si>
    <t>10.1016/j.foodchem.2021.131101</t>
  </si>
  <si>
    <t>WOS:000703962900006</t>
  </si>
  <si>
    <t>Batmunkh, MU; Choijil, E; Vieito, JP; Espinosa-Méndez, C; Wong, WK</t>
  </si>
  <si>
    <t>Batmunkh, Munkh-Ulzii; Choijil, Enkhbayar; Vieito, Joao Paulo; Espinosa-Mendez, Christian; Wong, Wing-Keung</t>
  </si>
  <si>
    <t>Does herding behavior exist in the Mongolian stock market?</t>
  </si>
  <si>
    <t>PACIFIC-BASIN FINANCE JOURNAL</t>
  </si>
  <si>
    <t>This investigation is among the first to examine the presence of herd behavior in the Mongolian stock market. Herding behavior was analyzed for the full sample data (1999 to 2019) including during bull and bear market periods, as well as high and low volatility states of markets. Additionally, the impact of four important events which occurred during these period were also tested: the establishment of the Finance Regulatory Committee of Mongolia (FRCM), the Global Financial Crises, Mongolia's inclusion in the FTSE Russell Watch list and economic boom in 2011. Using a cross-sectional absolute deviation (CSAD) model evidence of herding behavior was found in all the situations.</t>
  </si>
  <si>
    <t>Wong, Wing-Keung/AAI-9296-2020; Vieito, João/AAE-1207-2020; Espinosa-Méndez, Christian/G-5177-2019; Vieito, Joao Paulo/J-5191-2012; Batmunkh, Munkh-Ulzii/T-9287-2019</t>
  </si>
  <si>
    <t>Vieito, Joao Paulo/0000-0002-0899-4930; Batmunkh, Munkh-Ulzii/0000-0002-6881-9755; Espinosa-Mendez, Christian/0000-0001-6499-2414; Wong, Wing-Keung/0000-0001-6755-572X</t>
  </si>
  <si>
    <t>0927-538X</t>
  </si>
  <si>
    <t>1879-0585</t>
  </si>
  <si>
    <t>10.1016/j.pacfin.2020.101352</t>
  </si>
  <si>
    <t>WOS:000575397400006</t>
  </si>
  <si>
    <t>Bedioui, F; Griveau, S; Nyokong, T; Appleby, AJ; Caro, CA; Gulppi, M; Ochoa, G; Zagal, JH</t>
  </si>
  <si>
    <t>Bedioui, Fethi; Griveau, Sophie; Nyokong, Tebello; Appleby, A. John; Caro, Claudia A.; Gulppi, Miguel; Ochoa, Gonzalo; Zagal, Jose H.</t>
  </si>
  <si>
    <t>Tuning the redox properties of metalloporphyrin- and metallophthalocyanine-based molecular electrodes for the highest electrocatalytic activity in the oxidation of thiols</t>
  </si>
  <si>
    <t>In this work we discuss different approaches for achieving electrodes modified with N(4) macrocyclic complexes for the catalysis of the electrochemical oxidation of thiols. These approaches involve adsorption, electropolymerization and molecular anchoring using self assembled monolayers. We also discuss the parameters that determine the reactivity of these complexes. Catalytic activity is associated with the nature of the central metal, redox potentials and Hammett parameters of substituents on the ligand. Correlations between catalytic activity (log i at constant E) and the redox potential of catalysts for complexes of Cr, Mn, Fe, Co, Ni and Cu are linear with an increase of activity for more positive redox potentials. For a great variety complexes bearing the same metal center (Co) correlations between log i and E(o)' of the Co(II)/Co(I) couple have the shape of an unsymmetric volcano. This indicates that the potential of the Co(II)/Co(I) couple can be tuned using the appropiate ligand to achieve maximum catalytic activity. Maximum activity probably corresponds to a Delta G of adsorption of the thiol on the Co center equal to zero, and to a coverage of active sites by the thiol equal to 0.5.</t>
  </si>
  <si>
    <t>zagal, jose/L-9648-2014; Gulppi, Miguel/KTA-6210-2024; Bedioui, Fethi/N-3507-2014; Nyokong, Tebello/P-7644-2017</t>
  </si>
  <si>
    <t>Gulppi, Miguel/0000-0001-6099-4463; Bedioui, Fethi/0000-0002-0063-4412; Nyokong, Tebello/0000-0002-4590-9926</t>
  </si>
  <si>
    <t>JUL 14</t>
  </si>
  <si>
    <t>10.1039/b618767f</t>
  </si>
  <si>
    <t>WOS:000248225300003</t>
  </si>
  <si>
    <t>Ghanbari, A; Akhshi, N; Nedaei, SE; Mollica, A; Aneva, IY; Qi, YP; Liao, P; Darakhshan, S; Farzaei, MH; Xiao, JB; Echeverría, J</t>
  </si>
  <si>
    <t>Ghanbari, Ali; Akhshi, Nasim; Nedaei, Seyed Ershad; Mollica, Adriano; Aneva, Ina Yosifova; Qi, Yaping; Liao, Pan; Darakhshan, Sara; Farzaei, Mohammad Hosein; Xiao, Jianbo; Echeverria, Javier</t>
  </si>
  <si>
    <t>Tribulus terrestris and female reproductive system health: A comprehensive review</t>
  </si>
  <si>
    <t>Background: Tribulus terrestris L. (T. terrestris) positive performance on the male sexual system has been confirmed, but little is known about its effects on the female reproductive system. Purpose: This review discussed in detail the beneficial impact of T. terrestris and its secondary metabolites on the female reproductive system. Study design and methods: In this review, the scientific Databases of Science direct, Pubmed, Web of Science, Google, Google Scholar, Researchgate, EMBASE, Scientific Information (SID), and Elsevier were searched profoundly. Studies about the pharmacological activities of T. terrestris on the female reproductive system in each aspect of investigations: human, in vivo, and in vitro studies, in the period from 1998 to 2020 were admitted. Our study was not limited by the language of publications. Results: 23 articles about the effects of T. terrestris on the female reproductive system were found. These studies approved the T. terrestris efficacy on improvements in histological features of the ovary and uterus of polycystic ovary syndrome patients as well as the well-working of normal ovaries, enhancements in the sexual desire of postmenopausal syndrome, improve ovarian and breast cancers. Conclusion: These studies showed that the positive effect of T. terrestris on the female reproductive system was due to the presence of a secondary metabolite called protodioscin; a steroidal saponin compound, as the dominant active component of this plant.</t>
  </si>
  <si>
    <t>Echeverría, Javier/AAK-3323-2020; Nedaei, Seyed/V-3658-2018; Mollica, Adriano/K-2747-2016; Liao, Pan/GSM-8793-2022; Ghanbari, Ali/M-9173-2017; Aneva, Ina/HNR-2928-2023; Farzaei, Mohammad/M-5779-2017; Xiao, Jianbo/C-7323-2012; Qi, Yaping (Joyce)/JNR-1620-2023</t>
  </si>
  <si>
    <t>Qi, Yaping (Joyce)/0000-0002-0367-3695; Echeverria, Javier/0000-0002-1688-968X; Akhshi, Nasim/0000-0001-9342-8943; Aneva, Ina/0000-0002-6476-5438; Liao, Pan/0000-0002-1156-8916</t>
  </si>
  <si>
    <t>10.1016/j.phymed.2021.153462</t>
  </si>
  <si>
    <t>WOS:000627864600003</t>
  </si>
  <si>
    <t>Kyaw, TH; Bastidas, VM; Tangpanitanon, J; Romero, G; Kwek, LC</t>
  </si>
  <si>
    <t>Kyaw, Thi Ha; Bastidas, Victor M.; Tangpanitanon, Jirawat; Romero, Guillermo; Kwek, Leong-Chuan</t>
  </si>
  <si>
    <t>Dynamical quantum phase transitions and non-Markovian dynamics</t>
  </si>
  <si>
    <t>PHYSICAL REVIEW A</t>
  </si>
  <si>
    <t>In the context of closed quantum systems, when a system prepared in its ground state undergoes a sudden quench, the resulting Loschmidt echo can exhibit zeros, resembling the Fisher zeros in the theory of classical equilibrium phase transitions. These zeros lead to nonanalytical behavior of the corresponding rate function, which is referred to as the dynamical quantum phase transition (DQPT). In this paper, we investigate DQPTs in the context of open quantum systems that are coupled to both Markovian and non-Markovian dephasing baths via a conserved quantity. The general framework is corroborated by studying the nonequilibrium dynamics of a transverse-field Ising ring. Our paper might shed light on theoretical developments of DQPTs in the strong system-bath coupling regime.</t>
  </si>
  <si>
    <t>Kyaw, Thi Ha/AAI-2983-2020; Kwek, Leong-Chuan/P-2303-2014; , Thi Ha Kyaw/C-5127-2015; Romero, Guillermo/C-8245-2009</t>
  </si>
  <si>
    <t>Kwek, Leong-Chuan/0000-0002-0879-0591; Bastidas, Victor M./0000-0001-8091-7860; , Thi Ha Kyaw/0000-0002-3557-2709; Romero, Guillermo/0000-0003-2917-7814</t>
  </si>
  <si>
    <t>2469-9926</t>
  </si>
  <si>
    <t>2469-9934</t>
  </si>
  <si>
    <t>10.1103/PhysRevA.101.012111</t>
  </si>
  <si>
    <t>WOS:000507493100001</t>
  </si>
  <si>
    <t>CS-KG: A Large-Scale Knowledge Graph of Research Entities and Claims in Computer Science</t>
  </si>
  <si>
    <t>In recent years, we saw the emergence of several approaches for producing machine-readable, semantically rich, interlinked description of the content of research publications, typically encoded as knowledge graphs. A common limitation of these solutions is that they address a low number of articles, either because they rely on human experts to summarize information from the literature or because they focus on specific research areas. In this paper, we introduce the Computer Science Knowledge Graph (CS-KG), a large-scale knowledge graph composed by over 350M RDF triples describing 41M statements from 6.7M articles about 10M entities linked by 179 semantic relations. It was automatically generated and will be periodically updated by applying an information extraction pipeline on a large repository of research papers. CS-KG is much larger than all comparable solutions and offers a very comprehensive representation of tasks, methods, materials, and metrics in Computer Science. It can support a variety of intelligent services, such as advanced literature search, document classification, article recommendation, trend forecasting, hypothesis generation, and many others. CS-KG was evaluated against a benchmark of manually annotated statements, yielding excellent results.</t>
  </si>
  <si>
    <t>Almeida, João/N-8243-2013; Hogan, Aidan/J-4978-2016; Takeda, Hideaki/C-4956-2008; Pirrò, Giuseppe/AAF-1993-2019; Osborne, Francesco/HGU-2673-2022</t>
  </si>
  <si>
    <t>Buscaldi, Davide/0000-0003-1112-3789; Dessi, Danilo/0000-0003-3843-3285; Motta, Enrico/0000-0003-0015-1952; Reforgiato Recupero, Diego/0000-0001-8646-6183; Osborne, Francesco/0000-0001-6557-3131</t>
  </si>
  <si>
    <t>10.1007/978-3-031-19433-7_39</t>
  </si>
  <si>
    <t>WOS:000886782800039</t>
  </si>
  <si>
    <t>Cortes, PG; Araya-Hermosilla, R; Araya-Hermosilla, E; Acuña, D; Mautner, A; Caballero, L; Melo, F; Moreno-Villoslada, I; Picchioni, F; Rolleri, A; Quero, F</t>
  </si>
  <si>
    <t>Gonzalez Cortes, Pablo; Araya-Hermosilla, Rodrigo; Araya-Hermosilla, Esteban; Acuna, Daniela; Mautner, Andreas; Caballero, Leonardo; Melo, Francisco; Moreno-Villoslada, Ignacio; Picchioni, Francesco; Rolleri, Aldo; Quero, Franck</t>
  </si>
  <si>
    <t>Mechanical properties and electrical surface charges of microfibrillated cellulose/imidazole-modified polyketone composite membranes</t>
  </si>
  <si>
    <t>POLYMER TESTING</t>
  </si>
  <si>
    <t>In the present work, microfibrillated cellulose (MFC) suspensions were produced by high-pressure homogenization and subsequently used to fabricate MFC membranes (C-1) by vacuum filtration followed by hot-pressing. A polyketone (PK50) was chemically modified by Paal-Knorr reaction to graft imidazole (IM) functional groups along its backbone structure. The resulting polymer is referred to as PK50IM80. By solution impregnation, C-1 was immersed in an aqueous solution of PK50IM80 and subsequently hot pressed, resulting in the fabrication of MFC/PK50IM80 composite membranes (C-IMP). Another method, referred to as solution mixing, consisted in adding MFC into an aqueous solution of PK50IM80 followed by vacuum filtration and hot-pressing to obtain MFC/PK50IM80 composite membranes (C-MEZC). C-IMP and C-MEZC were characterized by a wide range of analytical techniques including, X-ray photoelectron spectroscopy, Fourier-transform infrared chemical imaging, scanning electron microscopy, atomic force microscopy, dynamical mechanical analysis, tensile testing as well as streaming zeta potential, and compared to C-1 (reference material). The results suggested that C-IMP possess a more homogeneous distribution of PK50IM80 at their surface compared to C-MEZC. C-IMP was found to possess significantly enhanced Young's modulus compared to C-1 and C-MEZC. The tensile strength of C-IMP was found to improve significantly compared to C-1, whereas C-1 possessed significantly higher tensile index than C-IMP and C-MEZC. Furthermore, the presence of PK50IM80 at the surface of MFC was found to significantly shift the isoelectric point (IEP) of the membranes from pH 2.3 to a maximum value of 4.5 for C-IMP. Above the IEP, C-IMP and C-MEZC were found to possess significantly less negative electrical surface charges (plateau value of -25 mV at pH 10) when compared to C-1 (plateau value of -42 mV at pH 10). Our approach may have implication to broaden the range of filtration applications of MFC-based membranes.</t>
  </si>
  <si>
    <t>Mautner, Andreas/ABD-5206-2021; Picchioni, Francesco/AAM-2629-2020; Quero, Franck/AAV-4341-2020; Araya-Hermosilla, Esteban/AAU-1701-2021; Moreno Villoslada, Ignacio/JOZ-4157-2023; Hermosilla, Rodrigo/Y-7833-2018; Melo, Francisco/M-3923-2014</t>
  </si>
  <si>
    <t>Mautner, Andreas/0000-0003-0347-8643; Acuna Conejeros, Daniela del Carmen/0009-0004-4702-8227; Araya-Hermosilla, Esteban/0000-0003-4271-6886; Melo, Francisco Esteban/0000-0001-6818-5476; Picchioni, Francesco/0000-0002-9859-3857</t>
  </si>
  <si>
    <t>0142-9418</t>
  </si>
  <si>
    <t>1873-2348</t>
  </si>
  <si>
    <t>10.1016/j.polymertesting.2020.106710</t>
  </si>
  <si>
    <t>WOS:000561350500053</t>
  </si>
  <si>
    <t>Chalapathi, U; Reddy, BP; Dhanalakshmi, R; Reddy, GS; Divya, A; Sangaraju, S; Alhammadi, S; Mohanarangam, K; Bahajjaj, AAA; Park, SH</t>
  </si>
  <si>
    <t>Chalapathi, U.; Reddy, B. Purusottam; Dhanalakshmi, Radhalayam; Reddy, Golkonda Srinivas; Divya, Athipalli; Sangaraju, Sambasivam; Alhammadi, Salh; Mohanarangam, Krithikaa; Bahajjaj, Aboud Ahmed Awadh; Park, Si-Hyun</t>
  </si>
  <si>
    <t>Seed layer-assisted growth of Bi2S3 nanorod films for efficient photoelectrochemical water splitting</t>
  </si>
  <si>
    <t>Nanocrystalline Bi2S3 thin films show significant potential for efficient photoelectrochemical (PEC) water splitting applications. However, traditional chemical bath deposition (CBD) methods face challenges such as poor adhesion, limited thickness, and the need for multiple depositions. This study addresses these issues by introducing a seed layer-assisted growth method, utilizing Sb2S3 as the seed layer to enhance the synthesis of uniform and strongly adherent Bi2S3 nanorod films on FTO-coated glass substrates. Three types of Bi2S3 films were prepared: pristine Bi2S3, Bi2S3 on an Sb2S3 seed layer, and Bi2S3 with the addition of SbCl3 to the starting solution. The pristine Bi2S3 films formed nanorods 50-100 nm in length, with a direct bandgap of 1.25 eV, and a photocurrent density of 4.6 mA/cm2 at 1 V vs Ag/AgCl. The Bi2S3 films deposited on an Sb2S3 seed layer exhibited improved nanorod density and size (100-150 nm) and an increased photocurrent of 10.0 mA/cm2 at 1 V vs Ag/AgCl. Conversely, the addition of SbCl3 to the starting solution resulted in smaller nanorods (50- 100 nm), a higher energy gap of 1.32 eV, and a reduced photocurrent density of 7.0 mA/cm2. These findings demonstrate that the use of an Sb2S3 seed layer prior to Bi2S3 growth significantly enhances the nanorod density and improves both the physical and PEC properties of the films, making this method a promising approach for developing more efficient PEC water-splitting devices. This seed layer approach provides a pathway for the large-scale development of various semiconductor thin films for photoelectrochemical and other optoelectronic device applications.</t>
  </si>
  <si>
    <t>Sangaraju, Sambasivam/Z-5686-2019; bahajjaj, aboud/AAA-9102-2022; Mohanarangam, Krithikaa/IAO-1286-2023; Alhammadi, Salh/ABZ-2324-2022</t>
  </si>
  <si>
    <t>Park, Si-Hyun/0000-0001-7106-7913; , Dr.ATHIPALLI DIVYA/0000-0002-0483-9167; bahajjaj, aboud/0000-0003-0134-9039; bommireddy, purusottam reddy/0000-0002-1100-7895</t>
  </si>
  <si>
    <t>10.1016/j.ijhydene.2024.12.289</t>
  </si>
  <si>
    <t>WOS:001407826000001</t>
  </si>
  <si>
    <t>Zbozinek, TD; Perez, OD; Wise, T; Fanselow, M; Mobbs, D</t>
  </si>
  <si>
    <t>Zbozinek, Tomislav D.; Perez, Omar D.; Wise, Toby; Fanselow, Michael; Mobbs, Dean</t>
  </si>
  <si>
    <t>Ambiguity drives higher-order Pavlovian learning</t>
  </si>
  <si>
    <t>PLOS COMPUTATIONAL BIOLOGY</t>
  </si>
  <si>
    <t>In the natural world, stimulus-outcome associations are often ambiguous, and most associations are highly complex and situation-dependent. Learning to disambiguate these complex associations to identify which specific outcomes will occur in which situations is critical for survival. Pavlovian occasion setters are stimuli that determine whether other stimuli will result in a specific outcome. Occasion setting is a well-established phenomenon, but very little investigation has been conducted on how occasion setters are disambiguated when they themselves are ambiguous (i.e., when they do not consistently signal whether another stimulus will be reinforced). In two preregistered studies, we investigated the role of higher order Pavlovian occasion setting in humans. We developed and tested the first computational model predicting direct associative learning, traditional occasion setting (i.e., 1st-order occasion setting), and 2nd-order occasion setting. This model operationalizes stimulus ambiguity as a mechanism to engage in higher-order Pavlovian learning. Both behavioral and computational modeling results suggest that 2nd-order occasion setting was learned, as evidenced by lack and presence of transfer of occasion setting properties when expected and the superior fit of our 2nd-order occasion setting model compared to the 1st-order occasion setting or direct associations models. These results provide a controlled investigation into highly complex associative learning and may ultimately lead to improvements in the treatment of Pavlovian-based mental health disorders (e.g., anxiety disorders, substance use).</t>
  </si>
  <si>
    <t>Perez, Omar/IAO-4501-2023</t>
  </si>
  <si>
    <t>Zbozinek, Tomislav/0000-0003-0187-671X; Perez, Omar David/0000-0002-4168-5435; Wise, Toby/0000-0002-9021-3282</t>
  </si>
  <si>
    <t>1553-734X</t>
  </si>
  <si>
    <t>1553-7358</t>
  </si>
  <si>
    <t>e1010410</t>
  </si>
  <si>
    <t>10.1371/journal.pcbi.1010410</t>
  </si>
  <si>
    <t>WOS:000892043500003</t>
  </si>
  <si>
    <t>Pizarro, J; Vergara, PM; Cerda, S; Cordero, RR; Castillo, X; Rowe, PM; Casassa, G; Carrasco, J; Damiani, A; Llanillo, PJ; Lambert, F; Rondanelli, R; Huneeus, N; Fernandoy, F; Alfonso, J; Neshyba, S</t>
  </si>
  <si>
    <t>Pizarro, Jaime; Vergara, Pablo M.; Cerda, Sergio; Cordero, Raul R.; Castillo, Ximena; Rowe, Penny M.; Casassa, Gino; Carrasco, Jorge; Damiani, Alessandro; Llanillo, Pedro J.; Lambert, Fabrice; Rondanelli, Roberto; Huneeus, Nicolas; Fernandoy, Francisco; Alfonso, Juan; Neshyba, Steven</t>
  </si>
  <si>
    <t>Contaminant emissions as indicators of chemical elements in the snow along a latitudinal gradient in southern Andes</t>
  </si>
  <si>
    <t>The chemical composition of snow provides insights on atmospheric transport of anthropogenic contaminants at different spatial scales. In this study, we assess how human activities influence the concentration of elements in the Andean mountain snow along a latitudinal transect throughout Chile. The concentration of seven elements (Al, Cu, Fe, Li, Mg, Mn and Zn) was associated to gaseous and particulate contaminants emitted at different spatial scales. Our results indicate carbon monoxide (CO) averaged at 20 km and nitrogen oxide (NOx) at 40 km as the main indicators of the chemical elements analyzed. CO was found to be a significant predictor of most element concentrations while concentrations of Cu, Mn, Mg and Zn were positively associated to emissions of NOx. Emission of 2.5 mu m and 10 mu m particulate matter averaged at different spatial scales was positively associated to concentration of Li. Finally, the concentration of Zn was positively associated to volatile organic compounds (VOC) averaged at 40 km around sampling sites. The association between air contaminants and chemical composition of snow suggests that regions with intensive anthropogenic pollution face reduced quality of freshwater originated from glacier and snow melting.</t>
  </si>
  <si>
    <t>Alfonso, Juan Jaime/LUY-7564-2024; Huneeus, Nicolas/IVH-5476-2023; Vergara, Pablo/F-2519-2010; Cordero, Raul/M-7979-2017; Damiani, Alessandro/X-4677-2019; Rondanelli, Roberto/A-4717-2012; Lambert, Fabrice/M-2003-2014; Llanillo, Pedro/L-5877-2015; Carrasco, Jorge/K-2949-2014</t>
  </si>
  <si>
    <t>Rondanelli, Roberto/0000-0002-7440-7810; Damiani, Alessandro/0000-0003-3014-6193; Lambert, Fabrice/0000-0002-2192-024X; Llanillo, Pedro/0000-0002-9308-501X; Vergara, Pablo/0000-0002-0024-1678; Huneeus, Nicolas/0000-0002-6214-5518; Carrasco, Jorge/0000-0003-2154-5483; Cordero, Raul R./0000-0001-7607-7993</t>
  </si>
  <si>
    <t>10.1038/s41598-021-93895-1</t>
  </si>
  <si>
    <t>WOS:000675827900029</t>
  </si>
  <si>
    <t>Muñoz-Cofré, R; Rojas-Mancilla, E; Lizana, PA; Escobar-Cabello, M; García-Herrera, C; Conei, D; Valenzuela-Aedo, F; Soto-Rodríguez, FJ; del Sol, M</t>
  </si>
  <si>
    <t>Munoz-Cofre, Rodrigo; Rojas-Mancilla, Edgardo; Lizana, Pablo A.; Escobar-Cabello, Maximo; Garcia-Herrera, Claudio; Conei, Daniel; Valenzuela-Aedo, Fernando; Soto-Rodriguez, Francisco Javier; del Sol, Mariano</t>
  </si>
  <si>
    <t>Relationship Between Plasma Leptin Levels and Airflow Limitation in the Small and Medium Airways in Young Adults</t>
  </si>
  <si>
    <t>Background/Objectives: To determine the relationship between plasma leptin levels and airflow limitation (AFL) in the small and medium airways of young adults according to their body composition (BC). Methods: To determine AFL, the following measurements were taken: forced expiratory volume in the first second (FEV1), forced expiratory flow between 25-75% (FEF25-75%), airway resistance (Raw), and specific airway resistance (sRaw). The measured BC variables were body mass index (BMI), body fat percentage (%BF), trunk fat percentage (TF%), and fat-free mass (FFM). Plasma leptin was measured using the ELISA technique. Results: In total, 83 participants (40 male and 43 female) aged 21.55 +/- 2.08 years were evaluated. Leptin was significantly higher in women than men (p &lt; 0.01). When relating leptin to lung function variables, FEV1 and FEF25-75% showed a significant inverse relationship (p &lt; 0.01), and Raw and sRaw showed a direct and significant relationship (p &lt; 0.01). Female participants with a BF% and leptin higher than their p75 were observed to have a higher risk of increased sRaw (OR = 1.0; OR = 1.15, respectively), regardless of age, and participants with an FFM% higher than their p75 had a lower risk of increased sRaw (OR = 0.71), regardless of gender and age. Conclusions: There is an inverse relationship between FEV1, FEF25-75%, and a direct relationship between Raw and sRaw with leptin. For female participants with a higher BF%, higher FFM%, and leptin, the risk of developing Raw and sRaw was found to be modified.</t>
  </si>
  <si>
    <t>García-Herrera, Claudio/ABE-8991-2020; del sol, Mariano/I-4746-2018; Lizana, Pablo/ABE-4996-2020</t>
  </si>
  <si>
    <t>Rojas-Mancilla, Edgardo/0000-0001-9684-3827; del sol, Mariano/0000-0003-3686-6757; Garcia-Herrera, Claudio/0000-0002-1283-8551; Conei, Daniel/0000-0001-6583-0177; Lizana, Pablo A./0000-0002-9366-6930</t>
  </si>
  <si>
    <t>10.3390/jcm14051624</t>
  </si>
  <si>
    <t>WOS:001443866700001</t>
  </si>
  <si>
    <t>Sen, K; El Mellah, I; Langer, N; Xu, XT; Quast, M; Pauli, D</t>
  </si>
  <si>
    <t>Sen, K.; El Mellah, I.; Langer, N.; Xu, X. -t.; Quast, M.; Pauli, D.</t>
  </si>
  <si>
    <t>Whispering in the dark: Faint X-ray emission from black holes with OB star companions</t>
  </si>
  <si>
    <t>Context. Recently, astrometric and spectroscopic surveys of OB stars revealed a few stellar-mass black holes (BHs) with orbital periods of as low as 10 days. Contrary to wind-fed BH high-mass X-ray binaries (HMXBs), no X-ray counterpart was detected, probably because of the absence of a radiatively efficient accretion disc around the BH. Nevertheless, dissipative processes in the hot, dilute, and strongly magnetised plasma around the BH (so-called BH corona) can still lead to non-thermal X-ray emission (e.g. synchrotron). Aims. We determine the X-ray luminosity distribution from BH+OB star binaries up to orbital periods of a few thousand days. Methods. We used detailed binary evolution models computed with MESA for initial primary masses of 10-90 M-circle dot and orbital periods of 1-3000 d. We computed the X-ray luminosity for a broad range of radiative efficiencies that depend on the mass accretion rate and flow geometry. Results. For typical conditions around stellar-mass BHs, we show that particle acceleration through magnetic reconnection can heat the BH corona. A substantial fraction of the gravitational potential energy from the accreted plasma is converted into non-thermal X-ray emission. Our population synthesis analysis predicts that at least 28 (up to 72) BH+OB star binaries in the Large Magellanic Cloud (LMC) produce X-ray luminosities of above 10(31) erg s(-1), which are observable with focused Chandra observations. We identify a population of SB1 systems in the LMC and HD96670 in the Milky Way comprising O stars with unseen companions of masses of above 2.3 M-circle dot, which aligns well with our predictions and may be interesting sources for follow-up observations. The predicted luminosities of the OB companions to these X-ray-emitting BHs are 10(4.5 - 5.5) L-circle dot. Conclusions. These findings advocate for prolonged X-ray observations of the stellar-mass black hole candidates identified in the vicinity of OB stars. Such long exposures could reveal the underlying population of X-ray-faint BHs and provide constraints for the evolution from single to double degenerate binaries and identify the progenitors of gravitational wave mergers.</t>
  </si>
  <si>
    <t>Sen, Koushik/0000-0002-8134-4854</t>
  </si>
  <si>
    <t>A256</t>
  </si>
  <si>
    <t>10.1051/0004-6361/202450940</t>
  </si>
  <si>
    <t>WOS:001332213700006</t>
  </si>
  <si>
    <t>González-Aguilar, H; Orden, D; Pérez-Lantero, P; Rappaport, D; Seara, C; Tejel, J; Urrutia, J</t>
  </si>
  <si>
    <t>Gonzalez-Aguilar, Hernan; Orden, David; Perez-Lantero, Pablo; Rappaport, David; Seara, Carlos; Tejel, Javier; Urrutia, Jorge</t>
  </si>
  <si>
    <t>MAXIMUM RECTILINEAR CONVEX SUBSETS</t>
  </si>
  <si>
    <t>SIAM JOURNAL ON COMPUTING</t>
  </si>
  <si>
    <t>Let P be a set of n points in the plane. We consider a variation of the classical Erdos-Szekeres problem, presenting efficient algorithms with O(n(3)) running time and O(n(2)) space complexity that compute (1) a subset S of P such that the boundary of the rectilinear convex hull of S has the maximum number of points from P, (2) a subset S of P such that the boundary of the rectilinear convex hull of S has the maximum number of points from P and its interior contains no element of P, (3) a subset S of P such that the rectilinear convex hull of S has maximum area and its interior contains no element of P, and (4) when each point of P is assigned a weight, positive or negative, a subset S of P that maximizes the total weight of the points in the rectilinear convex hull of S. We also revisit the problems of computing a maximum area orthoconvex polygon and computing a maximum area staircase polygon, amidst a point set in a rectangular domain. We obtain new and simpler algorithms to solve both problems with the same complexity as in the state of the art.</t>
  </si>
  <si>
    <t>Seara, Carlos/Z-3370-2019; /H-8836-2015; Orden, David/K-7566-2014</t>
  </si>
  <si>
    <t>/0000-0002-9543-7170; Seara, Carlos/0000-0002-0095-1725; Orden, David/0000-0001-5403-8467</t>
  </si>
  <si>
    <t>0097-5397</t>
  </si>
  <si>
    <t>1095-7111</t>
  </si>
  <si>
    <t>10.1137/19M1303010</t>
  </si>
  <si>
    <t>WOS:000641739300005</t>
  </si>
  <si>
    <t>Toriello, PV; Menichetti, CP; Buendía, CB; Hupat, EW; Larrañaga, CL; Riquelme, JM; Saldías, CS; Guzmán, CB; Schilcrot, FF; Lizama, AS; Cabello, ES; Pérez, SB; Díaz, RB; Jiménez, AR; Polanco, AC; Valenzuela, SS</t>
  </si>
  <si>
    <t>Vasquez Toriello, Patricia; Pilasi Menichetti, Carlos; Beltran Buendia, Carlos; Wu Hupat, Elba; Larranaga Larranaga, Carmen; Mora Riquelme, Judith; San Martin Saldias, Carolina; Bravo Guzman, Claudia; Fich Schilcrot, Felix; Salvo Lizama, Aurelio; Santander Cabello, Ester; Bertolo Perez, Soledad; Blamey Diaz, Rodrigo; Reyes Jimenez, Alejandra; Chavez Polanco, Ana; Silva Valenzuela, Sergio</t>
  </si>
  <si>
    <t>Programa Nacl Prevencion Control I; Div Prevencion Control Enfermedade; Subsecretaria Salud Publica; Minist Salud</t>
  </si>
  <si>
    <t>Standard joint for the prevention of vertical transmission of HIV and syphilis infection</t>
  </si>
  <si>
    <t>REVISTA CHILENA DE INFECTOLOGIA</t>
  </si>
  <si>
    <t>Benlloch, Salvador/HIK-0152-2022; Guzman, Cristina/MCJ-5376-2025</t>
  </si>
  <si>
    <t>0716-1018</t>
  </si>
  <si>
    <t>0717-6341</t>
  </si>
  <si>
    <t>MAY-JUN</t>
  </si>
  <si>
    <t>WOS:000320345400005</t>
  </si>
  <si>
    <t>Owolabi, C; Ruan, HB; Yamazaki, Y; Li, JF; Zhong, JH; Eyelade, AV; Priyadarshi, S; Yoshikawa, A</t>
  </si>
  <si>
    <t>Owolabi, Charles; Ruan, Haibing; Yamazaki, Yosuke; Li, Jinfeng; Zhong, Jiahao; Eyelade, A. V.; Priyadarshi, Shishir; Yoshikawa, Akimasa</t>
  </si>
  <si>
    <t>Empirical Modeling of Ionospheric Current Using Empirical Orthogonal Function Analysis and Artificial Neural Network</t>
  </si>
  <si>
    <t>Given the potential importance of solar quiet (Sq) ionospheric current in geomagnetic field modeling, it is vital to obtain accurate parameters characterizing its variations, particularly the spatial and temporal variations. In this paper, we derived the Sq current function based on the spherical harmonic analysis (SHA) technique using a 14-year (2006-2019) quiet geomagnetic field record over the American sector. The empirical orthogonal function (EOF) analysis was then applied to deduce temporal and spatial variations of the Sq current. It is observed that the first EOF mode of the Sq current function is dominated by solar activity, while the second and third EOF modes exhibit annual and semiannual variations, respectively. Also, the artificial neural network (ANN) model of Sq current function was constructed to validate the EOF model predictions. While the Sq current intensity predicted by the ANN model is underestimated by 2.83%, the EOF model underpredicted the Sq current intensity by 1.92% relative to the observation. The root mean square error (RMSE) of the EOF model is 0.64 kA. This RMSE is about 79% smaller than that of the ANN model. In addition, both the EOF and ANN models capture the variation of the total Sq current (J(total)) intensity with respect to solar activity. In principle, the EOF model had an optimal performance at nearly 98% accuracy, with the ANN model exhibiting almost the same degree of accuracy, which appears to be a reference point for ionospheric conditions when looking for space weather applications.</t>
  </si>
  <si>
    <t>Priyadarshi, Shishir/C-5036-2019; li, jinfeng/GVS-5425-2022; Yoshikawa, Akimasa/A-6142-2012; Zhong, Jiahao/S-4599-2019; Eyelade, Adetayo/AAD-9716-2020; Yamazaki, Yosuke/J-9484-2015; Owolabi, Oladejo/K-9841-2015; Zhong, Jiahao/C-5362-2015</t>
  </si>
  <si>
    <t>EYELADE, ADETAYO/0000-0002-2301-307X; Yamazaki, Yosuke/0000-0002-7624-4752; Yoshikawa, Akimasa/0000-0003-3735-1325; Ruan, Haibing/0000-0002-5410-7909; Owolabi, Oladejo/0000-0001-6080-7402; Priyadarshi, Shishir/0000-0002-1775-8964; Zhong, Jiahao/0000-0001-5130-8185</t>
  </si>
  <si>
    <t>e2021SW002831</t>
  </si>
  <si>
    <t>10.1029/2021SW002831</t>
  </si>
  <si>
    <t>WOS:000722467500012</t>
  </si>
  <si>
    <t>Niraula, G; Toneto, D; Joshy, E; Coaquira, JAH; Ayesh, AI; Garcia, F; Muraca, D; Denardin, JC; Goya, GF; Sharma, SK</t>
  </si>
  <si>
    <t>Niraula, Gopal; Toneto, Denilson; Joshy, Elma; Coaquira, Jose A. H.; Ayesh, Ahmad I.; Garcia, Flavio; Muraca, Diego; Denardin, Juliano C.; Goya, Gerardo F.; Sharma, Surender K.</t>
  </si>
  <si>
    <t>Energy Evolution, Stabilization, and Mechanotransducer Properties of Fe3O4 Vortex Nanorings and Nanodisks</t>
  </si>
  <si>
    <t>PHYSICAL REVIEW APPLIED</t>
  </si>
  <si>
    <t>Recent reports on spin structures produced in nanomaterials due to confinement of spins imposed by geometrical restrictions are at the center of rising scientific interest. Topological curling magnetic structures (vortices) exhibit unique properties, regarding the energy profile, good colloidal stability in suspensions, manipulation under a low-frequency magnetic field, and torque exertion. The last prop-erty provides the potential to mechanically eradicate cancer cells via magnetomechanical actuation using remote ac magnetic fields. Here, we study, theoretically and by micromagnetic simulations, the mag-netic energy evolutions for vortex nanosystems, i.e., Fe3O4 nanodisks (NDs) and nanorings (NRs). The obtained results for magnetic energy, magnetic susceptibility, and magnetization reversal confirm that the vortex-domain structure in NRs exhibits better stability and avoids agglomeration in solution, owing to the presence of a central hole, whereas the presence of a vortex core in NDs induces magnetic remanence. Although NDs are found to exert slightly higher torques than NRs, this weakness can be compensated for by a small increase (i.e., approximately equals 20%) in the amplitude of the applied field. Our results provide evidence of the magnetic stability of the curling ground states in NRs and open the possibility of applying these systems to magnetomechanical actuation on single cells for therapeutics in biomedicine, such as cancer-cell destruction by low-frequency torque transduction.</t>
  </si>
  <si>
    <t>Muraca, Diego/ABG-1092-2021; Ayesh, Ahmad/ABG-8380-2020; Denardin, Juliano/S-6407-2019; Goya, Gerardo/B-1915-2008; Niraula, Gopal/AAU-6031-2021; Coaquira, Jose/AAB-6108-2019; Muraca, Diego/K-5063-2015; Sharma, Surender Kumar/D-2388-2012; Garcia, Flavio/A-2976-2011</t>
  </si>
  <si>
    <t>Coaquira, Jose/0000-0002-8782-6838; Niraula, Gopal/0000-0002-8776-7794; Toneto da Silva, Denilson/0000-0003-1529-7137; Ayesh, Ahmad/0000-0002-0442-5941; Muraca, Diego/0000-0002-4530-4265; Sharma, Surender Kumar/0000-0002-6924-7699; Garcia, Flavio/0000-0002-3150-3909</t>
  </si>
  <si>
    <t>2331-7019</t>
  </si>
  <si>
    <t>10.1103/PhysRevApplied.16.024002</t>
  </si>
  <si>
    <t>WOS:000680846600001</t>
  </si>
  <si>
    <t>Argo, N; Klinowski, D; Krishnamurti, T; Smith, S</t>
  </si>
  <si>
    <t>Argo, Nichole; Klinowski, David; Krishnamurti, Tamar; Smith, Sarah</t>
  </si>
  <si>
    <t>The completion effect in charitable crowdfunding</t>
  </si>
  <si>
    <t>JOURNAL OF ECONOMIC BEHAVIOR &amp; ORGANIZATION</t>
  </si>
  <si>
    <t>We analyze data from two charitable crowdfunding platforms and find that donors make significantly larger donations, more frequently, and at a faster pace, in order to personally reach fundraising targets. This 'completion effect' occurs even when the target is of no consequence for provision, and even within donors who make multiple contributions on a platform. While the majority of donors follow suggested gift amounts at other points of the campaign, they deviate upwards in order to personally reach targets. We provide evidence that the effect is not driven by uncertainty about the recipient's ability to reach the fundraising goal; rather, it appears to be driven by a private benefit to the donor from personally completing campaigns. (C) 2020 Elsevier B.V. All rights reserved.</t>
  </si>
  <si>
    <t>Krishnamurti, Tamar/0000-0002-3416-2230; Smith, Sarah/0000-0003-0857-5039</t>
  </si>
  <si>
    <t>0167-2681</t>
  </si>
  <si>
    <t>1879-1751</t>
  </si>
  <si>
    <t>10.1016/j.jebo.2020.01.025</t>
  </si>
  <si>
    <t>WOS:000528248700002</t>
  </si>
  <si>
    <t>Ramirez-Campillo, R; Alvarez, C; Garcìa-Hermoso, A; Celis-Morales, C; Ramirez-Velez, R; Gentil, P; Izquierdo, M</t>
  </si>
  <si>
    <t>High-speed resistance training in elderly women: Effects of cluster training sets on functional performance and quality of life</t>
  </si>
  <si>
    <t>Objective: To compare the effects of 12 weeks of high-speed resistance training on functional performance and quality of life in elderly women when using either a traditional-set (TS) or a cluster-set (CS) configuration for inter-set rest. Methods: Three groups of subjects were formed by block-design randomization as follows: (i) control group (CG, n = 17; age, 66.5 +/- 5.4 years); (ii) 12-week high-speed resistance training group under a CS configuration (CSG, n = 15; age, 67.6 +/- 5.4 years); and (iii) 12-week high-speed resistance training group under a TS configuration (TSG, n = 20; age, 68.0 +/- 5.3 years). Training was undertaken three times per week, including highspeed resistance training exercises. The main difference between the training groups was the recovery set structure. In the TSG, women rested for 150 s after each set of eight repetitions, whereas the CSG used an interest rest redistribution, such that after two consecutive repetitions, a 30-s rest was allowed. Results: Group x test interactions were observed for a 10-m walking speed test, an 8-foot up-and-go test, a sit-tostand test, and physical quality of life (p &lt; 0.05; d = 0.12-0.81). The main results suggest that both training methods improve functional performance and quality of life, however, the CS configuration induced significantly greater improvements in functional performance and quality of life than the TS configuration. Conclusion: These results should be considered when designing appropriate and better resistance training programs for older adults.</t>
  </si>
  <si>
    <t>Ramirez-Campillo, Rodrigo/M-1258-2016; García-Hermoso, Antonio/ADU-2591-2022; ALVAREZ, CRISTIAN/S-8150-2019; Garcia-Hermoso, Antonio/P-1857-2017; Gentil, Paulo/L-7968-2016; Izquierdo, Mikel/A-4894-2010; Ramirez-Velez, Robinson/D-5311-2016</t>
  </si>
  <si>
    <t>Ramirez-Campillo, Rodrigo/0000-0003-2035-3279; Garcia-Hermoso, Antonio/0000-0002-1397-7182; Gentil, Paulo/0000-0003-2459-4977; Alvarez, Cristian/0000-0003-4783-9981; Izquierdo, Mikel/0000-0002-1506-4272; Ramirez-Velez, Robinson/0000-0003-3075-6960</t>
  </si>
  <si>
    <t>10.1016/j.exger.2018.06.014</t>
  </si>
  <si>
    <t>WOS:000442386400029</t>
  </si>
  <si>
    <t>Leng, XL; Nunna, GP; Mangiri, PK; Yini, C; Shuang, L; Pitcheri, R; Radhalayam, D; Ko, TJ; Choi, J</t>
  </si>
  <si>
    <t>Leng, Xiaolong; Nunna, Guru Prakash; Mangiri, Pavan Kumar; Yini, Chen; Shuang, Li; Pitcheri, Rosaiah; Radhalayam, Dhanalakshmi; Ko, Tae Jo; Choi, Jungwook</t>
  </si>
  <si>
    <t>Synergistic zinc molybdate-carbon nanosphere nanocomposites for enhanced electrochemical performance and efficient photocatalytic applications</t>
  </si>
  <si>
    <t>Transition metal molybdates such as zinc molybdate have gained considerable attention for applications to energy storage systems, namely in lithium-ion batteries (LIBs), and for environmental remediation, particularly in the photocatalytic degradation of organic pollutants. However, practical applications of these materials are hindered by their intrinsically poor electronic conductivities and suboptimal ion-transport kinetics. This study aimed to address these limitations by synthesizing a zinc molybdate-carbon nanosphere (ZMO@CNS) nanocomposite using a facile hydrothermal method. The synthesized nanocomposites were extensively characterized using various analytical techniques. An electrochemical evaluation revealed that the ZMO@CNS anode exhibited an impressive initial discharge capacity of 1933 mAh g- 1 at a current density of 1 A g- 1 and retained a high capacity of 1185 mAh g- 1 after rapid discharge cycles. Further, it maintained a discharge capacity of 975 mAh g- 1 after 500 cycles, demonstrating excellent cycling stability. Photocatalytic assessments showed that, within 100 min, ZMO@CNS degraded 99 % of crystal violet, which is a representative organic contaminant, in an aqueous solution. These findings highlight the dual functionality of the ZMO@CNS nanocomposite as a highperformance anode material for LIBs and as an efficient photocatalyst, making it a candidate for sustainable and multifaceted technological applications.</t>
  </si>
  <si>
    <t>Rosaiah/B-4028-2014; Nunna, Guru Prakash/AFO-6502-2022</t>
  </si>
  <si>
    <t>10.1016/j.jallcom.2025.179731</t>
  </si>
  <si>
    <t>WOS:001452098700001</t>
  </si>
  <si>
    <t>Rosaiah, P; Kuchi, C; Dhanalakshmi, R; Kumar, KN; Siddiqui, MR; Nunna, GP; Ko, TJ</t>
  </si>
  <si>
    <t>Rosaiah, P.; Kuchi, Charan; Dhanalakshmi, Radhalayam; Kumar, Kilari Naveen; Siddiqui, Masoom Raza; Nunna, Guru Prakash; Ko, Tae Jo</t>
  </si>
  <si>
    <t>Oleic acid-ligated Co0.7 doped Ca0.3Fe2O4 nanoparticles: A synergistic approach for enhanced wastewater purification and magnetic hyperthermia applications</t>
  </si>
  <si>
    <t>PHYSICA B-CONDENSED MATTER</t>
  </si>
  <si>
    <t>Magnetic nanoparticles have garnered considerable interest due to their multifunctional capabilities in various applications. This study focuses on the synthesis of oleic acid-anchored Co0.7Ca0.3Fe2O4 spinel nanoferrites, which were synthesized by the thermal decomposition of metal acetylacetonates in octadecene using oleic acid and oleylamine as surfactants. These nanoparticles exhibit a well-crystallized structures, narrow size distribution, and biocompatibility. The photocatalytic properties of the nanoparticles were evaluated through the degradation of the anionic Orange II and the cationic methylene blue (MB) dyes under UV light. Significant degradation efficiencies were observed; Orange II showed 92.4 % degradation within 60 min, whereas MB achieved 89.8 % over 300 min. Additionally, the specific absorption rate (SAR) of the magnetic fluids was determined via adiabatic calorimetry under varying magnetic fields and concentrations, revealing a maximum SAR of 418 W/g at a concentration of 3 mg/mL and a magnetic field of 475 Oe.</t>
  </si>
  <si>
    <t>kuchi, charan/AAT-5622-2020; Nunna, Guru Prakash/AFO-6502-2022; Siddiqui, Prof Masoom/ABC-7839-2020</t>
  </si>
  <si>
    <t>Kuchi, Charan/0000-0002-2065-4197</t>
  </si>
  <si>
    <t>0921-4526</t>
  </si>
  <si>
    <t>1873-2135</t>
  </si>
  <si>
    <t>MAY 15</t>
  </si>
  <si>
    <t>10.1016/j.physb.2025.417079</t>
  </si>
  <si>
    <t>WOS:001437771000001</t>
  </si>
  <si>
    <t>Sheeba, KRJ; Priya, RK; Arunachalam, KP; Shobana, S; Avudaiappan, S; Flores, ES</t>
  </si>
  <si>
    <t>Sheeba, K. R. Jaya; Priya, Retnam Krishna; Arunachalam, Krishna Prakash; Shobana, S.; Avudaiappan, Siva; Flores, Erick Saavedra</t>
  </si>
  <si>
    <t>Examining the physico-chemical, structural and thermo-mechanical properties of naturally occurring Acacia pennata fibres treated with KMnO4</t>
  </si>
  <si>
    <t>Natural fiber is a viable and possible option when looking for a material with high specific strength and high specific modulus that is lightweight, affordable, biodegradable, recyclable, and eco-friendly to reinforce polymer composites. There are many methods in which natural fibres can be incorporated into composite materials. The purpose of this research was to evaluate the physico-chemical, structural, thermal, and mechanical properties of Acacia pennata fibres (APFs). Scanning electron microscopy was used to determine the AP fibers' diameter and surface shape. The crystallinity index (64.47%) was discovered by XRD. The irregular arrangement and rough surface are seen in SEM photos. The findings demonstrated that fiber has high levels of cellulose (55.4%), hemicellulose (13.3%), and low levels of lignin (17.75%), which were determined through chemical analysis and validated by Fourier Transform Infrared Spectroscopy (FTIR). By using FTIR, the functional groups of the isolated AP fibers were examined, and TG analysis was used to look into the thermal degrading behaviour of the fibers treated with potassium permanganate (KMnO4) Due to their low density (520 kg/m(3)) and high cellulose content (55.4%), they have excellent bonding qualities. Additionally, tensile tests were used for mechanical characterisation to assess their tensile strength (685 MPa) and elongation.</t>
  </si>
  <si>
    <t>Priya, Krishna/0000-0002-5152-861X; ARUNACHALAM, Dr.KRISHNA PRAKASH/0000-0002-5151-2474</t>
  </si>
  <si>
    <t>NOV 24</t>
  </si>
  <si>
    <t>10.1038/s41598-023-46989-x</t>
  </si>
  <si>
    <t>WOS:001136085000043</t>
  </si>
  <si>
    <t>Orellana, W; Pino-Rios, R; Yanez, O; Vasquez-Espinal, A; Peccati, F; Contreras-Garcia, J; Cardenas, C; Tiznado, W</t>
  </si>
  <si>
    <t>Orellana, Walter; Pino-Rios, Ricardo; Yanez, Osvaldo; Vasquez-Espinal, Alejandro; Peccati, Francesca; Contreras-Garcia, Julia; Cardenas, Carlos; Tiznado, William</t>
  </si>
  <si>
    <t>Cluster Assembled Silicon-Lithium Nanostructures: A Nanowire Confined Inside a Carbon Nanotube</t>
  </si>
  <si>
    <t>We computationally explore an alternative to stabilize one-dimensional (1D) silicon-lithium nanowires (NWs). The Li12Si9 Zintl phase exhibits the NW [ Li 6 Si 5 ] infinity 1 , combined with Y-shaped Si-4 structures. Interestingly, this NW could be assembled from the stacking of the Li6Si5 aromatic cluster. The [ Li 6 Si 5 ] infinity 1 @CNT nanocomposite has been investigated with density functional theory (DFT), including molecular dynamics simulations and electronic structure calculations. We found that van der Waals interaction between Li's and CNT's walls is relevant for stabilizing this hybrid nanocomposite. This work suggests that nanostructured confinement (within CNTs) may be an alternative to stabilize this free NW, cleaning its properties regarding Li12Si9 solid phase, i.e., metallic character, concerning the perturbation provided by their environment in the Li12Si7 compound.</t>
  </si>
  <si>
    <t>Cárdenas, Carlos/IZP-8908-2023; CONTRERAS-GARCIA, JULIA/A-2482-2012; Orellana, Walter/ABA-6452-2021; Osorio, Edison/L-7964-2015; Peccati, Francesca/J-7958-2017; Cardenas, Carlos/F-1946-2010; Vasquez-Espinal, Alejandro/X-7300-2019; Tiznado, William/G-7479-2014</t>
  </si>
  <si>
    <t>Yanez Osses, Osvaldo Andres/0000-0001-8993-9353; Peccati, Francesca/0000-0002-7813-8216; Cardenas, Carlos/0000-0002-0648-6502; Vasquez-Espinal, Alejandro/0000-0003-3501-7905; Tiznado, William/0000-0002-6061-8879</t>
  </si>
  <si>
    <t>10.3389/fchem.2021.767421</t>
  </si>
  <si>
    <t>WOS:000726053200001</t>
  </si>
  <si>
    <t>Poornaprakash, B; Ashok, K; Subramanyam, K; Rosaiah, P; Dhanalakshmi, R; Jeon, J; Cheruku, R; Alnaser, IA; Karim, MR; Shin, J; Rao, KM; Kim, YL</t>
  </si>
  <si>
    <t>Poornaprakash, B.; Ashok, K.; Subramanyam, K.; Rosaiah, P.; Dhanalakshmi, Radhalayam; Jeon, Jooyoung; Cheruku, Rajesh; Alnaser, Ibrahim A.; Karim, Mohammad Rezaul; Shin, Jungho; Rao, Kummara Madhusudana; Kim, Young Lae</t>
  </si>
  <si>
    <t>Composition dependent magnetic and photocatalytic H2 evolution properties of CdS:Sm nanoparticles</t>
  </si>
  <si>
    <t>The fabrication of diluted magnetic semiconductors (DMSs) for spintronic devices has garnered significant recognition due to their diverse and impressive applications. Additionally, addressing global warming, replacing fossil fuels, and providing green energy are critical challenges of our time. In this context, we synthesized and characterized Sm-doped CdS nanoparticles, examining their magnetic, optical, structural, and photocatalytic hydrogen evolution properties for both spintronic and hydrogen fuel production applications. Structural analysis revealed that Sm ions successfully substituted Cd sites without altering the original structure. Optical studies demonstrated a reduction in the band gap with the incorporation of Sm ions into the CdS lattice, thereby enhancing the visible light absorption capabilities of the samples. Room temperature magnetic measurements indicated that while pristine CdS is paramagnetic, Sm-doped CdS nanoparticles exhibit strong ferromagnetic properties due to double exchange interactions among available spins, making them ideal for spintronic applications. Photocatalytic water splitting tests demonstrated that the CdS(4 at%) system achieved the highest hydrogen evolution rate among the samples, reaching 1629 mu mol/g. We believe the CdS(4 at%) system is a promising candidate for efficient hydrogen fuel production under simulated sunlight irradiation, contributing to clean, renewable energy production.</t>
  </si>
  <si>
    <t>Karim, Mohammad/LLL-9453-2024</t>
  </si>
  <si>
    <t>/0000-0002-5350-9981; Shin, Jungho/0000-0003-4402-0137</t>
  </si>
  <si>
    <t>10.1016/j.ceramint.2024.08.206</t>
  </si>
  <si>
    <t>WOS:001329254700001</t>
  </si>
  <si>
    <t>Lopez, E; Gómez, M; Becar, I; Zapata, P; Pizarro, J; Navlani-García, M; Cazorla-Amorós, D; Presser, V; Gómez, T; Cárdenas, C</t>
  </si>
  <si>
    <t>Lopez, Esmeralda; Gomez, Mauricio; Becar, Ian; Zapata, Paula; Pizarro, Jaime; Navlani-Garcia, Miriam; Cazorla-Amoros, Diego; Presser, Volker; Gomez, Tatiana; Cardenas, Carlos</t>
  </si>
  <si>
    <t>Removal of Mo(VI), Pb(II), and Cu(II) from wastewater using electrospun cellulose acetate/chitosan biopolymer fibers</t>
  </si>
  <si>
    <t>Environmentally friendly polymers such as cellulose acetate (CA) and chitosan (CS) were used to obtain electrospun fibers for Cu 2+ , Pb 2+ , and Mo 6+ capture. The solvents dichloromethane (DCM) and dimethylformamide (DMF) allowed the development of a surface area of 148 m 2 g -1 for CA fibers and 113 m 2 g -1 for cellulose acetate/chitosan (CA/CS) fibers. The fibers were characterized by IR-DRIFT, SEM, TEM, CO 2 sorption isotherms at 273 K, Hg porosimetry, TGA, stress -strain tests, and XPS. The CA/CS fibers had a higher adsorption capacity than CA fibers without affecting their physicochemical properties. The capture capacity reached 102 mg g -1 for Cu 2+ , 49.3 mg g -1 for Pb 2+ , and 13.1 mg g -1 for Mo 6+ . Furthermore, optimal pH, adsorption times q t , and C 0 were studied for the evaluation of kinetic models and adsorption isotherms. Finally, a proposal for adsorbateadsorbent interactions is presented as a possible capture mechanism where, in the case of Mo 6+ , a computational study is presented. The results demonstrate the potential to evaluate the fibers in tailings wastewater from copper mining.</t>
  </si>
  <si>
    <t>Gómez, Tatiana/X-9734-2019; Navlani-García, Miriam/Y-9733-2019; Cárdenas, Carlos/IZP-8908-2023; Presser, Volker/HCH-2090-2022; Lopez Toro, Esmeralda/LKN-8650-2024; Cazorla-Amoros, Diego/A-3967-2008; Cardenas, Carlos/F-1946-2010</t>
  </si>
  <si>
    <t>Zapata, Paula Andrea/0000-0003-3361-6226; Gomez, Tatiana/0000-0001-6127-330X; Cardenas, Carlos/0000-0002-0648-6502; Gomez Barrena, Mauricio/0000-0003-2010-5910; Lopez Toro, Esmeralda/0000-0001-5540-7199</t>
  </si>
  <si>
    <t>10.1016/j.ijbiomac.2024.132160</t>
  </si>
  <si>
    <t>WOS:001291600000001</t>
  </si>
  <si>
    <t>Navas-Fonseca, A; Burgos-Mellado, C; Gómez, JS; Espina, E; Llanos, J; Sáez, D; Sumner, M; Olivares, DE</t>
  </si>
  <si>
    <t>Navas-Fonseca, Alex; Burgos-Mellado, Claudio; Gomez, Juan S.; Espina, Enrique; Llanos, Jacqueline; Saez, Doris; Sumner, Mark; Olivares, Daniel E.</t>
  </si>
  <si>
    <t>Distributed Predictive Secondary Control With Soft Constraints for Optimal Dispatch in Hybrid AC/DC Microgrids</t>
  </si>
  <si>
    <t>IEEE TRANSACTIONS ON SMART GRID</t>
  </si>
  <si>
    <t>Hybrid AC/DC microgrids (H-MGs) are a prominent solution for integrating distributed generation and modern AC and DC loads. However, controlling these systems is challenging as multiple electrical variables need to be controlled and coordinated. To provide flexibility to the control system, these variables can be regulated to specific values or within secure bands. This paper proposes a set of distributed model predictive control schemes for the secondary control level to control certain variables to specific values and other variables within secure pre-defined bands into H-MGs. Specifically, optimal dispatch of active and reactive power is achieved while frequency and voltages are regulated within secure bands in H-MGs. Dynamic models of AC generators, DC generators and interlinking converters along with their novel multi-objective cost functions are developed in constrained distributed predictive optimisation problems to simultaneously achieve the aforementioned objectives via information sharing. Extensive simulation work validates the performance of this proposal.</t>
  </si>
  <si>
    <t>Olivares, Daniel/G-2760-2015; Saez, Doris/JBJ-6880-2023; Llanos, Jacqueline/KZU-6934-2024; Espina, Enrique/AGZ-7297-2022; Burgos-Mellado, Claudio/X-6305-2019; Navas Fonseca, Alex Dario/ABA-2690-2021; Gomez Quintero, Juan Sebastian/AAL-5096-2020</t>
  </si>
  <si>
    <t>Espina, Enrique/0000-0002-2075-2010; Navas Fonseca, Alex Dario/0000-0003-1393-8412; Sumner, Mark/0000-0003-2536-6298; Llanos, Jacqueline/0000-0002-6708-3897; Burgos-Mellado, Claudio/0000-0003-1990-0191; Gomez Quintero, Juan Sebastian/0000-0002-6507-1462</t>
  </si>
  <si>
    <t>1949-3053</t>
  </si>
  <si>
    <t>1949-3061</t>
  </si>
  <si>
    <t>10.1109/TSG.2023.3261569</t>
  </si>
  <si>
    <t>WOS:001160583000053</t>
  </si>
  <si>
    <t>Rolán, K; Sánchez-Borges, I; Kogan, B; García-Marco, E; Alvarez, C; de Vega, M; García, AM</t>
  </si>
  <si>
    <t>Rolan, Katia; Sanchez-Borges, Ivan; Kogan, Boris; Garcia-Marco, Enrique; Alvarez, Carlos J.; de Vega, Manuel; Garcia, Adolfo M. M.</t>
  </si>
  <si>
    <t>The embodied typist: Bimanual actions are modulated by words' implied motility and number of evoked limbs</t>
  </si>
  <si>
    <t>The planning and execution of manual actions can be influenced by concomitant processing of manual action verbs. However, this phenomenon manifests in varied ways throughout the literature, ranging from facilitation to interference effects. Suggestively, stimuli across studies vary randomly in two potentially relevant variables: verb motility and effector quantity (i.e., the amount of movement and the number of hands implied by the word, respectively). Here we examine the role of these factors during keyboard typing, a strategic bimanual task validated in previous works. Forty-one participants read and typed high and low motility items from four categories: bimanual, unimanual, and non-manual action verbs, as well as minimally motoric verbs. Motor planning and execution were captured by first-letter lag (the lapse between word presentation and first keystroke) and whole-word lag (the lapse between the first and last keystroke). We found that verb motility modulated action planning and execution, both stages being delayed by high (relative to low) motility verbs. Effector quantity also influenced both stages, which were facilitated by bimanual verbs relative to unimanual verbs and non-manual verbs (this effect being confined to high motility items during action execution). Accordingly, motor-language coupling effects seem sensitive to words' implied motility and number of evoked limbs. These findings refine our understanding of how semantics influences bodily movement.</t>
  </si>
  <si>
    <t>de vega, manuel/F-8222-2011; García Marco, Enrique/ABO-8279-2022; Rolán, Katia/GQB-3256-2022; Kogan, Boris/HPD-5180-2023; García, Adolfo/E-7150-2017</t>
  </si>
  <si>
    <t>Sanchez Borges, Ivan/0000-0001-5359-1543; Rolan, Katia/0000-0001-7430-7548; Kogan, Boris/0000-0002-5844-6203; de Vega, Manuel/0000-0002-9596-1642</t>
  </si>
  <si>
    <t>AUG 10</t>
  </si>
  <si>
    <t>10.1371/journal.pone.0289926</t>
  </si>
  <si>
    <t>WOS:001051741800099</t>
  </si>
  <si>
    <t>Canales-Cerro, C; Hidalgo-Hermoso, E; Cabello, J; Sacristán, ; Cevidanes, A; Di Cataldo, S; Napolitano, C; Moreira-Arce, D; Klarian, S; Millán, J</t>
  </si>
  <si>
    <t>Canales-Cerro, C.; Hidalgo-Hermoso, E.; Cabello, J.; Sacristan, I; Cevidanes, A.; Di Cataldo, S.; Napolitano, C.; Moreira-Arce, D.; Klarian, S.; Millan, J.</t>
  </si>
  <si>
    <t>Carbon and nitrogen isotopic similarity between the endangered Darwin's fox (Lycalopex fulvipes) and sympatric free-ranging dogs in Chiloe Island, Chile</t>
  </si>
  <si>
    <t>ISOTOPES IN ENVIRONMENTAL AND HEALTH STUDIES</t>
  </si>
  <si>
    <t>Darwin's fox is an opportunistic omnivorous predator native to Chile classified as endangered by the IUCN Red List. Habitat use by Darwin's foxes can be negatively affected by the presence of free-ranging dogs that range freely across native and non-native habitats and can be a source of fox mortality. The objective of this study was to analyze the isotopic similarity of Darwin's fox and sympatric free-ranging dogs in Chiloe Island to determine the impact of anthropogenic environmental alterations on wild predators. We use hair samples to characterise and compare their delta C-13 and delta N-15 values and to evaluate isotopic similarity and isotope niches overlap. A generalised linear model was used to associate the isotope value with landscape variables (forest cover and vegetation type) and distance to the nearest house. We found no significant differences in delta C-13 or delta N-15 values between foxes and dogs, and a marginally significant isotope niche overlap (59.4 %). None of the selected variables at landscape and site scale were related to isotope values. Although our study is not a probe of direct contact between foxes and free-ranging dogs, the high isotopic similarity highlights the risk of pathogen spillover from free-ranging dogs to Darwin's foxes.</t>
  </si>
  <si>
    <t>Hidalgo-Hermoso, Ezequiel/ABB-6056-2020; Cevidanes, Aitor/M-4676-2016; Millan, Javier/B-5399-2008</t>
  </si>
  <si>
    <t>Cevidanes, Aitor/0000-0003-1874-6399; Napolitano, Constanza/0000-0002-7081-6975; Millan, Javier/0000-0001-5608-781X; Canales-Cerro, Carlos/0000-0003-3242-9947; Di Cataldo, Sophia/0000-0001-5917-7175</t>
  </si>
  <si>
    <t>1025-6016</t>
  </si>
  <si>
    <t>1477-2639</t>
  </si>
  <si>
    <t>NOV 2</t>
  </si>
  <si>
    <t>4-6</t>
  </si>
  <si>
    <t>10.1080/10256016.2022.2106225</t>
  </si>
  <si>
    <t>WOS:000840396100001</t>
  </si>
  <si>
    <t>Kumar, R; Singh, RK; Dubey, PK; Yadav, RM; Singh, DP; Tiwari, RS; Srivastava, ON</t>
  </si>
  <si>
    <t>Kumar, Rajesh; Singh, Rajesh Kumar; Dubey, Pawan Kumar; Yadav, Ram Manohar; Singh, Dinesh Pratap; Tiwari, R. S.; Srivastava, O. N.</t>
  </si>
  <si>
    <t>Highly zone-dependent synthesis of different carbon nanostructures using plasma-enhanced arc discharge technique</t>
  </si>
  <si>
    <t>JOURNAL OF NANOPARTICLE RESEARCH</t>
  </si>
  <si>
    <t>Three kinds of carbon nanostructures, i.e., graphene nanoflakes (GNFs), multi walled carbon nanotubes (MWCNTs), and spherical carbon nanoparticles (SCNPs) were comparatively investigated in one run experiment. These carbon nanostructures are located at specific location inside the direct current plasma-assisted arc discharge chamber. These carbon nanomaterials have been successfully synthesized using graphite as arcing electrodes at 400 torr in helium (He) atmosphere. The SCNPs were found in the deposits formed on the cathode holder, in which highly curled graphitic structure are found in majority. The diameter varies from 20 to 60 nm and it also appears that these particles are self-assembled to each other. The MWCNTs with the diameter of 10-30 nm were obtained which were present inside the swelling portion of cathode deposited. These MWCNTs have 14-18 graphitic layers with 3.59 angstrom interlayer spacing. The GNFs have average lateral sizes of 1-5 mu m and few of them are stacked layers and shows crumpled like structure. The GNFs are more stable at low temperature (low mass loss) but SCNPs have low mass loss at high temperature.</t>
  </si>
  <si>
    <t>Dubey, Pawan/A-8571-2010; Kumar, Dr. Rajesh/H-6510-2011; SINGH, DINESH/A-2509-2011; Singh, Rajesh kumar/B-2721-2008; Yadav, Prof. Ram Manohar/P-9146-2014</t>
  </si>
  <si>
    <t>SINGH, DINESH/0000-0002-2893-7749; Kumar, Rajesh/0000-0001-7065-3259; Singh, Rajesh kumar/0000-0001-8884-8775; Dubey, Pawan Kumar/0000-0003-4617-368X; Yadav, Prof. Ram Manohar/0000-0001-6894-9501</t>
  </si>
  <si>
    <t>1388-0764</t>
  </si>
  <si>
    <t>1572-896X</t>
  </si>
  <si>
    <t>10.1007/s11051-014-2837-9</t>
  </si>
  <si>
    <t>WOS:000352165600007</t>
  </si>
  <si>
    <t>Wang, CH; Deng, CB; Horsey, H; Reyna, JL; Liu, D; Feron, S; Cordero, RR; Song, J; Jackson, RB</t>
  </si>
  <si>
    <t>Wang, Chenghao; Deng, Chengbin; Horsey, Henry; Reyna, Janet L.; Liu, Di; Feron, Sarah; Cordero, Raul R.; Song, Jiyun; Jackson, Robert B.</t>
  </si>
  <si>
    <t>CHUWD-H v1.0: a comprehensive historical hourly weather database for US urban energy system modeling</t>
  </si>
  <si>
    <t>SCIENTIFIC DATA</t>
  </si>
  <si>
    <t>Reliable and continuous meteorological data are crucial for modeling the responses of energy systems and their components to weather and climate conditions, particularly in densely populated urban areas. However, existing long-term datasets often suffer from spatial and temporal gaps and inconsistencies, posing great challenges for detailed urban energy system modeling and cross-city comparison under realistic weather conditions. Here we introduce the Historical Comprehensive Hourly Urban Weather Database (CHUWD-H) v1.0, a 23-year (1998-2020) gap-free and quality-controlled hourly weather dataset covering 550 weather station locations across all urban areas in the contiguous United States. CHUWD-H v1.0 synthesizes hourly weather observations from stations with outputs from a physics-based solar radiation model and a reanalysis dataset through a multi-step gap filling approach. A 10-fold Monte Carlo cross-validation suggests that the accuracy of this gap filling approach surpasses that of conventional gap filling methods. Designed primarily for urban energy system modeling, CHUWD-H v1.0 should also support historical urban meteorological and climate studies, including the validation and evaluation of urban climate modeling.</t>
  </si>
  <si>
    <t>Deng, Chengbin/AAU-6044-2020; Cordero, Raul/M-7979-2017; Wang, Chenghao/O-7961-2017</t>
  </si>
  <si>
    <t>Feron, Sarah/0000-0002-0572-5639; Wang, Chenghao/0000-0001-8846-4130; Jackson, Robert/0000-0001-8846-7147</t>
  </si>
  <si>
    <t>2052-4463</t>
  </si>
  <si>
    <t>10.1038/s41597-024-04238-4</t>
  </si>
  <si>
    <t>WOS:001381023800030</t>
  </si>
  <si>
    <t>Martinez, JH; Ramirez-Campillo, R; Vera-Assaoka, T; Cerda, MAC; Carter-Thuillier, B; Herrera-Valenzuela, T; Lopez-Fuenzalida, A; Nobari, H; Valdes-Badilla, P</t>
  </si>
  <si>
    <t>Hernandez Martinez, Jordan; Ramirez-Campillo, Rodrigo; Vera-Assaoka, Tiago; Castillo Cerda, Maria Angelica; Carter-Thuillier, Bastian; Herrera-Valenzuela, Tomas; Lopez-Fuenzalida, Antonio; Nobari, Hadi; Valdes-Badilla, Pablo</t>
  </si>
  <si>
    <t>Corrigendum: Warm-up stretching exercises and physical performance of youth soccer players (vol 14, 1127669, 2023)</t>
  </si>
  <si>
    <t>Herrera-Valenzuela, Tomas/L-1819-2019; Carter-Thuillier, Bastian/AAS-5113-2021; Nobari, Hadi/AAO-9721-2021; Ramirez-Campillo, Rodrigo/M-1258-2016</t>
  </si>
  <si>
    <t>Ramirez-Campillo, Rodrigo/0000-0003-2035-3279</t>
  </si>
  <si>
    <t>10.3389/fphys.2023.1191277</t>
  </si>
  <si>
    <t>WOS:000971737500001</t>
  </si>
  <si>
    <t>Gatica, S; Eltit, F; Santibanez, JF; Varela, D; Cabello-Verrugio, C; Simon, F</t>
  </si>
  <si>
    <t>Gatica, Sebastian; Eltit, Felipe; Santibanez, Juan F.; Varela, Diego; Cabello-Verrugio, Claudio; Simon, Felipe</t>
  </si>
  <si>
    <t>Expression Suppression and Activity Inhibition of TRPM7 Regulate Cytokine Production and Multiple Organ Dysfunction Syndrome During Endotoxemia: A New Target for Sepsis</t>
  </si>
  <si>
    <t>Background: Main pathological features detected during sepsis and endotoxemia include over-secretion of pro-inflammatory cytokines and multiorgan dysfunction syndrome (MODS). Unfortunately, current clinical efforts to treat sepsis are unsatisfactory, and mortality remains high. Interestingly, transient receptor potential (TRP) melastatin 7 (TRPM7) ion channel controlling Ca2+ and Mg2+ permeability is involved in cytokine production and inflammatory response. Furthermore, TRPM7 downregulation has been shown to alleviate local symptoms in some models of sepsis, but its effects at a systemic level remain to be explored. Objective: To test whether TRPM7 mediates cytokine production and MODS during endotoxemia. Methods: Endotoxemic and sham-endotoxemic rats were subjected to pharmacological inhibition of TRPM7 using carvacrol, or to expression suppression by adenovirus delivery of shRNA (AdV(shTRPM7)). Then, cytokine and MODS levels in the blood were measured. Results: Inhibition of TRPM7 with carvacrol and suppression with AdV(shTRPM7 )were both efficient in inhibiting the over-secretion of pro-inflammatory cytokines TNF-alpha, IL-1 beta, IL-6, and IL-12 in endotoxemic rats, without inducing downregulation in blood levels of anti-inflammatory cytokines IL-10 and IL-4. Additionally, the use of carvacrol and AdV(shTRPM7) significantly prevented liver and pancreas dysfunction, altered metabolic function, and hypoglycemia, induced by endotoxemia. Furthermore, muscle mass wasting and cardiac muscle damage were also significantly reduced by the use of carvacrol and AdV(shTRPM7) in endotoxemic rats. Conclusion: Our results indicate TRPM7 ion channel as a key protein regulating inflammatory responses and MODS during sepsis. Moreover, TRPM7 appears as a novel molecular target for the management of sepsis.</t>
  </si>
  <si>
    <t>Gatica, Sebastian/F-5669-2012; Varela, Diego/AAG-7489-2019; Eltit, Felipe/HNP-7471-2023; Santibanez, Juan/K-7071-2016; Cabello-Verrugio, Claudio/AAD-1454-2020</t>
  </si>
  <si>
    <t>Cabello-Verrugio, Claudio/0000-0001-7273-2102; Simon, Felipe/0000-0002-2653-9798; Varela, Diego/0000-0002-9352-414X</t>
  </si>
  <si>
    <t>10.2174/1566524019666190709181726</t>
  </si>
  <si>
    <t>WOS:000484548900002</t>
  </si>
  <si>
    <t>Diaz-Celis, C; Canari-Chumpitaz, C; Sosa, RP; Castillo, JP; Zhang, M; Cheng, E; Chen, AQ; Vien, M; Kim, JH; Onoa, B; Bustamante, C</t>
  </si>
  <si>
    <t>Diaz-Celis, Cesar; Canari-Chumpitaz, Cristhian; Sosa, Robert P.; Castillo, Juan P.; Zhang, Meng; Cheng, Enze; Chen, Andy Q.; Vien, Michael; Kim, Jeong Hoon; Onoa, Bibiana; Bustamante, Carlos</t>
  </si>
  <si>
    <t>Assignment of structural transitions during mechanical unwrapping of nucleosomes and their disassembly products</t>
  </si>
  <si>
    <t>Nucleosome DNA unwrapping and its disassembly into hexasomes and tetrasomes is necessary for genomic access and plays an important role in transcription regulation. Previous single-molecule mechanical nucleosome unwrapping revealed a low- and a high-force transitions, and force-FRET pulling experiments showed that DNA unwrapping is asymmetric, occurring always first from one side before the other. However, the assignment of DNA segments involved in these transitions remains controversial. Here, using high-resolution optical tweezers with simultaneous single-molecule FRET detection, we show that the low-force transition corresponds to the undoing of the outer wrap of one side of the nucleosome (similar to 27 bp), a process that can occur either cooperatively or noncooperatively, whereas the high-force transition corresponds to the simultaneous unwrapping of similar to 76 bp from both sides. This process may give rise stochastically to the disassembly of nucleosomes into hexasomes and tetrasomes whose unwrapping/ rewrapping trajectories we establish. In contrast, nucleosome rewrapping does not exhibit asymmetry. To rationalize all previous nucleosome unwrapping experiments, it is necessary to invoke that mechanical unwrapping involves two nucleosome reorientations: one that contributes to the change in extension at the low-force transition and another that coincides but does not contribute to the high-force transition.</t>
  </si>
  <si>
    <t>zhang, meng/GQP-4394-2022</t>
  </si>
  <si>
    <t>Kim, Jeonghoon/0000-0002-4678-3915; Onoa, Bibiana/0000-0002-7447-7587; Chen, Andy/0000-0002-4970-045X</t>
  </si>
  <si>
    <t>AUG 16</t>
  </si>
  <si>
    <t>e2206513119</t>
  </si>
  <si>
    <t>10.1073/pnas.2206513119</t>
  </si>
  <si>
    <t>WOS:000891285000005</t>
  </si>
  <si>
    <t>Ferreira, WFD; de Carvalho, DS; Wandalsen, GF; Solé, D; Sarinho, ESC; Medeiros, D; Melo, ACCD; Prestes, EX; Camargos, PAM; Luhm, KR; Garcia-Marcos, L; Mallol, J; Rosário, NA; Chong-Neto, HJ</t>
  </si>
  <si>
    <t>da Silva Ferreira, Wellington Fernando; de Carvalho, Denise Siqueira; Wandalsen, Gustavo Falbo; Sole, Dirceu; Cavalcante Sarinho, Emanuel Savio; Medeiros, Decio; Cavalcanti Dela Bianca Melo, Ana Carolina; Prestes, Elaine Xavier; Moreira Camargos, Paulo Augusto; Luhm, Karin Regina; Garcia-Marcos, Luis; Mallol, Javier; Rosario, Nelson Augusto; Chong-Neto, Herberto Jose</t>
  </si>
  <si>
    <t>Associated factors with recurrent wheezing in infants: is there difference between the sexes?</t>
  </si>
  <si>
    <t>Objective: Identify associated factors for recurrent wheezing (RW) in male and female infants. Methods: Cross-sectional multicentric study using the standardized questionnaire from the Estudio Internacional sobre Sibilancias en Lactantes (EISL). The questionnaire was applied to parents of 9345 infants aged 12-15 months at the time of immunization/routine visits. Results: One thousand two hundred and sixty-one (13.5%) males and nine hundred sixty-three (10.3%) females have had RW (&gt;= 3 episodes), respectively (p10 colds episodes (OR= 3.46; IC 95% 2.35-5.07), air pollution (OR= 1.33; IC 95% 1.12-1.59), molds at home (OR = 1.23; IC 95% 1.03-1.47), Afro-descendants (OR= 1.42; IC 95% 1.20-1.69), bronchopneumonia (OR= 1.41; IC; 1.11-1.78), severe episodes of wheezing in the first year (OR= 1.56; IC 95% 1.29-1.89), treatment with bronchodilators (OR= 1.60; IC 95% 1.22-2,1) and treatment with oral corticosteroids (OR = 1,23; IC 95% 0.99-1,52). Associated factors for RW for females were passive smoking (OR = 1.24; IC 95% 1.01-1,51), parents diagnosed with asthma (OR= 1.32; IC 95% 1,08-1,62), parents with allergic rhinitis (OR= 1.26; IC 95% 1.04-1.53), daycare attendance (OR= 1.48; IC 95% 1.17-1,88), colds in the first 6 months of life (OR = 2.19; IC 95% 1.69-2.82), personal diagnosis of asthma (OR= 1.84; IC 95% 1.39-2.44), emergency room visits (OR= 1.78; IC 95% 1.44-2.21), nighttime symptoms (OR = 2.89; IC 95% 2.34-3.53) and updated immunization (OR = 0.62; IC 95% 0.41-0.96). Conclusion: There are differences in associated factors for RW between genders. Identification of these differences could be useful to the approach and management of RW between boys and girls. (C) 2021 Sociedade Brasileira de Pediatria. Published by Elsevier Editora Ltda.</t>
  </si>
  <si>
    <t>Rosario Filho, Nelson/HSE-9522-2023; Wandalsen, Gustavo/D-8412-2013; Luhm, Karin/ACS-0354-2022; Solé, Dirceu/JAO-0340-2023; Chong Neto, Herberto Jose/K-4077-2013; CARVALHO, DENISE/E-1445-2015</t>
  </si>
  <si>
    <t>Sole, Dirceu/0000-0002-3579-0861; Chong Neto, Herberto Jose/0000-0002-7960-3925; Wandalsen, Gustavo/0000-0003-2173-4380; Luhm, Karin Regina/0000-0003-4555-4595; CARVALHO, DENISE/0000-0002-7495-5884; Ferreira, Wellington Fernando da Silva/0000-0002-9474-2421; Prestes, Elaine Xavier/0000-0002-6470-1389; Cavalcanti Dela Bianca Melo, Ana Caroline/0000-0001-9576-0368; Medeiros, Decio/0000-0003-1779-5762</t>
  </si>
  <si>
    <t>10.1016/j.jped.2021.01.001</t>
  </si>
  <si>
    <t>WOS:000729607100009</t>
  </si>
  <si>
    <t>Al-Qadami, E; Razi, MAM; Ideris, MFM; Mahamud, M; Shah, SMH; Pu, JH; Amran, M; Avudaiappan, S; Figueroa, AG</t>
  </si>
  <si>
    <t>Al-Qadami, Ebrahim; Razi, Mohd Adib Mohammad; Ideris, Mohamad Fahmi Mohamad; Mahamud, Mahran; Shah, Syed Muzzamil Hussain; Pu, Jaan H.; Amran, Mugahed; Avudaiappan, Siva; Figueroa, Alberto Gonzalez</t>
  </si>
  <si>
    <t>Comprehensive biodiversity assessment of flora and fauna along the Kedah coastline: Implications for conservation and sustainable management</t>
  </si>
  <si>
    <t>RESULTS IN ENGINEERING</t>
  </si>
  <si>
    <t>Preserving the unique ecosystems of specific coastal areas is crucial for environmental health and the welfare of local communities. This study explores the rich biodiversity of flora and fauna along the Kedah state coastline, a 440 km stretch along the Strait of Malacca. Through meticulous site surveys and comprehensive data collection across multiple locations, followed by laboratory analyses, this research reveals a vibrant tapestry of life. The Kedah coastal area boasts a remarkable diversity, with 60 fish species identified, predominantly from the Carangidae (12 %) and Mugilidae (10 %) families. Additionally, five marine mammal species were documented, though turtles and terrapins were notably absent. The condition of coral reefs varied, with fair conditions observed at stations St-1 and St-2 (31.67 % and 35.67 % live coral, respectively), and poor conditions at St-3 (10.67 % live coral). High densities of phytoplankton, zooplankton, macrobenthos, and seaweed were recorded, whereas seagrass vegetation was absent. The study on Kedah's coastal flora and fauna revealed a diverse range of species, including fish, marine mammals, corals, phytoplankton, zooplankton, macrobenthos, and seaweed. Coral reefs were found to be in varying conditions, with some needing restoration. The study recommends long-term monitoring, seasonal surveys, and focused research on key species. Habitat protection, community awareness, and sustainable practices are also emphasized to preserve the ecological balance of these marine environments. Moreover, the findings of this study provide a critical understanding of the Kedah coastal ecosystem and offer valuable insights for local authorities to develop effective conservation strategies. This research underscores the importance of preserving biodiversity to maintain ecological balance and support sustainable development in coastal regions.</t>
  </si>
  <si>
    <t>RAZI, MOHD/AAP-6468-2021; Avudaiappan, Siva/AAV-7579-2021; Al-Qadami, Ebrahim/KYQ-2333-2024; amran, mugahed/AAW-4821-2020; Pu, Jaan/AAI-2129-2020; Shah, Syed/AAS-3958-2020</t>
  </si>
  <si>
    <t>Al-Qadami, Ebrahim Hamid Hussein/0000-0002-5043-5438</t>
  </si>
  <si>
    <t>2590-1230</t>
  </si>
  <si>
    <t>10.1016/j.rineng.2024.103120</t>
  </si>
  <si>
    <t>OCT 2024</t>
  </si>
  <si>
    <t>WOS:001339624500001</t>
  </si>
  <si>
    <t>López, RA; Yoon, PH; Viñas, AF; Lazar, M</t>
  </si>
  <si>
    <t>Lopez, R. A.; Yoon, P. H.; Vinas, A. F.; Lazar, M.</t>
  </si>
  <si>
    <t>Hybrid Simulation and Quasi-linear Theory of Bi-Kappa Proton Instabilities</t>
  </si>
  <si>
    <t>The quasi-steady states of collisionless plasmas in space (e.g., in the solar wind and planetary environments) are governed by the interactions of charged particles with wave fluctuations. These interactions are responsible not only for the dissipation of plasma waves but also for their excitation. The present analysis focuses on two instabilities, mirror and electromagnetic ion cyclotron instabilities, associated with the same proton temperature anisotropy T-perpendicular to &gt; T-parallel to (where perpendicular to, parallel to are directions defined with respect to the local magnetic field vector). Theories relying on standard Maxwellian models fail to link these two instabilities (i.e., predicted thresholds) to the proton quasi-stable anisotropies measured in situ in a completely satisfactory manner. Here we revisit these instabilities by modeling protons with the generalized bi-Kappa (bi-kappa power-law) distribution, and by a comparative analysis of a 2D hybrid simulation with the velocity-moment-based quasi-linear (QL) theory. It is shown that the two methods feature qualitative and, even to some extent, quantitative agreement. The reduced QL analysis based upon the assumption of a time-dependent bi-Kappa model thus becomes a valuable theoretical approach that can be incorporated into the present studies of solar wind dynamics.</t>
  </si>
  <si>
    <t>Yoon, Peter/E-2395-2013; Lazar, Marian/U-7133-2019; Lopez, Rodrigo/H-7576-2013; Lazar, Marian/C-3264-2012</t>
  </si>
  <si>
    <t>Lopez, Rodrigo/0000-0003-3223-1498; Lazar, Marian/0000-0002-8508-5466</t>
  </si>
  <si>
    <t>10.3847/1538-4357/aceb5b</t>
  </si>
  <si>
    <t>WOS:001144773800001</t>
  </si>
  <si>
    <t>Villarreal, P; Villarroel, C; O'Donnell, S; Agier, N; Quintero-Galvis, J; Peña, T; Nespolo, R; Fischer, G; Varela, C; Cubillos, F</t>
  </si>
  <si>
    <t>Villarreal, Pablo; Villarroel, Carlos; O'Donnell, Samuel; Agier, Nicolas; Quintero-Galvis, Julian; Pena, Tomas; Nespolo, Roberto; Fischer, Gilles; Varela, Cristian; Cubillos, Francisco</t>
  </si>
  <si>
    <t>Late Pleistocene-dated divergence between South Hemisphere populations of the non-conventional yeast L. cidri</t>
  </si>
  <si>
    <t>ENVIRONMENTAL MICROBIOLOGY</t>
  </si>
  <si>
    <t>Most organisms belonging to the Saccharomycotina subphylum have high genetic diversity and a vast repertoire of metabolisms and lifestyles. Lachancea cidri is an ideal yeast model for exploring the interplay between genetics, ecological function and evolution. Lachancea cidri diverged from the Saccharomyces lineage before the whole-genome duplication and is distributed across the South Hemisphere, displaying an important ecological success. We applied phylogenomics to investigate the genetic variation of L. cidri isolates obtained from Australia and South America. Our approach revealed the presence of two main lineages according to their geographic distribution (Aus and SoAm). Estimation of the divergence time suggests that SoAm and Aus lineages diverged near the last glacial maximum event during the Pleistocene (64-8 KYA). Interestingly, we found that the French reference strain is closely related to the Australian strains, with a recent divergence (405-51 YA), likely associated to human movements. Additionally, we identified different lineages within the South American population, revealing that Patagonia contains a similar genetic diversity comparable to that of other lineages in S. cerevisiae. These findings support the idea of a Pleistocene-dated divergence between South Hemisphere lineages, where the Nothofagus and Araucaria ecological niches likely favoured the extensive distribution of L. cidri in Patagonia.</t>
  </si>
  <si>
    <t>Villarreal, Pablo/N-8921-2019; Cubillos, Francisco/MIT-2389-2025; Nespolo, Roberto/D-5601-2015; Fischer, Gilles/G-6654-2016; Varela, Cristian/K-2931-2016; Quintero-Galvis, Julian F./D-5226-2017</t>
  </si>
  <si>
    <t>Varela, Cristian/0000-0002-4494-5810; Villarreal, Pablo/0000-0002-2254-0417; Quintero-Galvis, Julian F./0000-0001-9337-0606</t>
  </si>
  <si>
    <t>1462-2912</t>
  </si>
  <si>
    <t>1462-2920</t>
  </si>
  <si>
    <t>10.1111/1462-2920.16103</t>
  </si>
  <si>
    <t>WOS:000818736000001</t>
  </si>
  <si>
    <t>Marconcin, P; Ihle, A; Werneck, AO; Gouveia, ER; Ferrari, G; Peralta, M; Marques, A</t>
  </si>
  <si>
    <t>Marconcin, Priscila; Ihle, Andreas; Werneck, Andre O.; Gouveia, Elvio R.; Ferrari, Gerson; Peralta, Miguel; Marques, Adilson</t>
  </si>
  <si>
    <t>The Association of Healthy Lifestyle Behaviors with Overweight and Obesity among Older Adults from 21 Countries</t>
  </si>
  <si>
    <t>This study aimed to analyze the association of healthy lifestyle behaviors with overweight and obesity among Europeans aged 65+ years. Data were from the 2014 European Social Survey, analyzing 21 countries. Five lifestyle behaviors (physical activity, fruit and vegetable consumption, sleep quality, drinking alcohol, and smoking) were analyzed. Binary logistic regressions were performed. A total of 8938 participants (4099 men) 65 years and older, mean age-73.6 (SD: 6.6) presented prevalence of overweight of 42.3% (95% CI: 41.3 to 43.3) and obesity of 20.9% (95% CI: 20.1 to 21.8). Adopting five healthy behaviors was associated with lower odds of obesity (OR = 0.50, 95% CI: 0.39 to 0.63), but not overweight (OR: 0.93; 95% CI: 0.79 to 1.10). Physical activity (&gt;= 5 days/week) was the most protective behavior, reducing by 42% the odds of obesity. Sex moderated the association of fruits and vegetables consumption, alcohol use, and smoking with obesity. Strategies aiming to reduce obesity levels in older adults should focus on the promotion of multiple lifestyle health behaviors, particularly physical activity in order to decrease vulnerability risk in old age.</t>
  </si>
  <si>
    <t>Ferrari, Gerson/ABG-6635-2021; Marconcin, Priscila/GRO-2708-2022; Werneck, Andre/N-5006-2016; Peralta, Miguel/H-1666-2017; Ferrari, Gerson/P-1152-2014; Marques, Adilson/K-4529-2014; Gouveia, Elvio Rubio/F-9156-2015</t>
  </si>
  <si>
    <t>Werneck, Andre/0000-0002-9166-4376; Peralta, Miguel/0000-0001-6072-6012; Ferrari, Gerson/0000-0003-3177-6576; Ihle, Andreas/0000-0001-9845-5190; Marques, Adilson/0000-0001-9850-7771; Marconcin, Priscila/0000-0002-1295-0826; Gouveia, Elvio Rubio/0000-0003-0927-692X</t>
  </si>
  <si>
    <t>10.3390/nu13020315</t>
  </si>
  <si>
    <t>WOS:000622941400001</t>
  </si>
  <si>
    <t>Tannert, T; Follesa, M; Fragiacomo, M; González, P; Isoda, H; Moroder, D; Xiong, HB; van de Lindt, J</t>
  </si>
  <si>
    <t>Tannert, Thomas; Follesa, Maurizio; Fragiacomo, Massimo; Gonzalez, Paulina; Isoda, Hiroshi; Moroder, Daniel; Xiong, Haibei; van de Lindt, John</t>
  </si>
  <si>
    <t>SEISMIC DESIGN OF CROSS-LAMINATED TIMBER BUILDINGS</t>
  </si>
  <si>
    <t>WOOD AND FIBER SCIENCE</t>
  </si>
  <si>
    <t>The increasing interest in cross-laminated timber (CLT) construction has resulted in multiple international research projects and publications covering the manufacturing and performance of CLT. Multiple regions and countries have adopted provisions for CLT into their engineering design standards and building regulations. Designing and building CLT structures, also in earthquake-prone regions is no longer a domain for early adopters, but is becoming a part of regular timber engineering practice. The increasing interest in CLT construction has resulted in multiple regions and countries adopting provisions for CLT into their engineering design standards. However, given the economic and legal differences between each region, some fundamental issues are treated differently, particularly with respect to seismic design. This article reflects the state-of-the-art on seismic design of CLT buildings including both, the global perspective and regional differences comparing the seismic design practice in Europe, Canada, the United States, New Zealand, Japan, China, and Chile.</t>
  </si>
  <si>
    <t>Xiong, Haibei/ABY-1772-2022; Fragiacomo, Massimo/AAB-4005-2020</t>
  </si>
  <si>
    <t>Follesa, Maurizio/0000-0002-2648-8732; Fragiacomo, Massimo/0000-0002-9178-7501; Tannert, Thomas/0000-0001-9699-2750; Gonzalez Soto, Paulina/0000-0003-3365-648X</t>
  </si>
  <si>
    <t>0735-6161</t>
  </si>
  <si>
    <t>10.22382/wfs-2018-037</t>
  </si>
  <si>
    <t>WOS:000441731700002</t>
  </si>
  <si>
    <t>Ramírez-Vélez, R; García-Hermoso, A; Alonso-Martínez, AM; Agostinis-Sobrinho, C; Correa-Bautista, JE; Triana-Reina, HR; Izquierdo, M</t>
  </si>
  <si>
    <t>Ramirez-Velez, Robinson; Garcia-Hermoso, Antonio; Alonso-Martinez, Alicia Maria; Agostinis-Sobrinho, Cesar; Correa-Bautista, Jorge Enrique; Triana-Reina, Hector Reynaldo; Izquierdo, Mikel</t>
  </si>
  <si>
    <t>Cardiorespiratory Fitness Normative Values in Latin-American Adolescents: Role of Fatness Parameters</t>
  </si>
  <si>
    <t>The aim of this study was to provide percentile values for a cardiorespiratory fitness (CRF) field test for Latin-American adolescents (34,461 girls and 38,044 boys) aged 13 to 15 years. The role of fatness parameters on the CRF level across age groups was also examined, with a focus on non-obese (healthy) and obese groups. CRF was assessed using the 20-meter shuttle run test protocol. Anthropometric parameters were measured using body mass index z-score (body mass index (BMI) z-score), BMI, waist circumference (WC), and waist-to-height ratio (WHtR). Participants were categorized according to the BMI z-score, WC, and WHtR international cut-off points as healthy and obese. Age- and sex-specific reference tables for the 3rd, 10th, 25th, 50th, 75th, 90th, and 97th centile scores were calculated using Cole's lambda, mu, and sigma method. The prevalence of obesity according to the BMI z-score, WC, and WHtR was 9.6%, 11.2%, and 15.0%, respectively. Across all age and sex groups, a negative association was found between relative peak oxygen uptake ((V)over dotO(2)peak) and BMI, WC, and WHtR. In boys and girls there were higher levels of performance across all age groups, with most apparent gains between the ages of 13 and 14 years old. Overall, participants categorized in the healthy group had shown to have significantly higher (V)over dotO(2)peak than their obese counterparts (p &lt; 0.001; Cohen's d &gt; 1.0). In conclusion, our study provides age- and sex-specific reference values for CRF ((V)over dotO(2)peak, mL.kg(-1).min(-1)). The anthropometric parameters were inversely associated with CRF in all ages in both sexes. The obese group had worse CRF than their healthy counterparts independent of anthropometric parameters used to determine obesity.</t>
  </si>
  <si>
    <t>Correa-Bautista, Jorge Enrique/JDD-3131-2023; Triana-Reina, Héctor/JMP-5055-2023; García-Hermoso, Antonio/ADU-2591-2022; Agostinis Sobrinho, Cesar Aparecido/B-4971-2018; Alonso-Martinez, Alicia M./KYR-7889-2024; Izquierdo, Mikel/A-4894-2010; Ramirez-Velez, Robinson/D-5311-2016; Garcia-Hermoso, Antonio/P-1857-2017; Correa-Bautista, Jorge Enrique/N-2741-2015</t>
  </si>
  <si>
    <t>Agostinis Sobrinho, Cesar Aparecido/0000-0001-9104-9042; Alonso-Martinez, Alicia M./0000-0002-7204-696X; Izquierdo, Mikel/0000-0002-1506-4272; Ramirez-Velez, Robinson/0000-0003-3075-6960; TRIANA-REINA, HECTOR REYNALDO/0000-0002-6334-7082; Garcia-Hermoso, Antonio/0000-0002-1397-7182; Correa-Bautista, Jorge Enrique/0000-0002-0646-2316</t>
  </si>
  <si>
    <t>10.3390/ijerph16203889</t>
  </si>
  <si>
    <t>WOS:000494779100103</t>
  </si>
  <si>
    <t>Stepanova, M; Antonova, EE; Moya, PS; Pintos, VA; Valdivia, JA</t>
  </si>
  <si>
    <t>Stepanova, M.; Antonova, E. E.; Moya, P. S.; Pintos, V. A.; Valdivia, J. A.</t>
  </si>
  <si>
    <t>Multisatellite Analysis of Plasma Pressure in the Inner Magnetosphere During the 1 June 2013 Geomagnetic Storm</t>
  </si>
  <si>
    <t>Using data from Defense Meteorological Satellite Program 16-18, National Oceanic and Atmospheric Administration 15-19, and METOP 1-2 satellites, we reconstructed for the first time a two-dimensional statistical distribution of plasma pressure in the inner magnetosphere during the 1 June 2013 geomagnetic storm with time resolution of 6 hr. Simultaneously, we used the data from Van Allen Probes and Time History of Events and Macroscale Interactions missions to obtain the in situ plasma pressure in the equatorial plane. This allowed us to corroborate that the dipole mapping works reasonably well during the storm time and that variations of plasma pressure are consistent at low and high altitudes; namely, we observed a drastic increase in plasma pressure a few hours before the storm onset that continued during the storm main phase. Plasma pressure remained elevated during the first 18 hr of the recovery phase and then started to decrease to normal levels. We found that the variation in pressure correlates with the change in the slope of the D-st index, and that the plasma pressure nearly conserved its axial symmetry during the storm, giving one more evidence that the ring current provides the main contribution to the D-st variation. We also found that the plasma pressure in the magnetosphere correlates with the solar wind dynamic pressure with a correlation coefficient exceeding 0.9, which can be related to the pressure balance at the magnetospheric flanks. The results obtained here agree with the concept of the ring current generation by an inner magnetosphere plasma ring in magnetostatic equilibrium. Plain Language Summary We study the evolution of plasma pressure in the Earth's magnetosphere during strong geomagnetic storm. It is found that the pressure strongly increases during pre-storm time, and the main phase of storm. It starts to decrease during the recovery phase. These changes are driven by the solar wind dynamic pressure.</t>
  </si>
  <si>
    <t>Valdivia, Juan/A-3631-2008; Moya, Pablo S./C-3163-2011; Pinto, Victor/C-9585-2011; Stepanova, Marina/D-6329-2011; Antonova, Elizaveta/A-2716-2012</t>
  </si>
  <si>
    <t>Moya, Pablo S./0000-0002-9161-0888; Pinto, Victor/0000-0003-1210-167X; Stepanova, Marina/0000-0002-1053-3375; Antonova, Elizaveta/0000-0001-6980-3993; Valdivia, Juan Alejandro/0000-0003-3381-9904</t>
  </si>
  <si>
    <t>10.1029/2018JA025965</t>
  </si>
  <si>
    <t>WOS:000462015700024</t>
  </si>
  <si>
    <t>Fuentealba, P; Paredes-Garcia, V; Venegas-Yazigi, D; Silva, IDA; Magon, CJ; de Santana, RC; Audebrand, N; Manzur, J; Spodine, E</t>
  </si>
  <si>
    <t>Fuentealba, P.; Paredes-Garcia, V.; Venegas-Yazigi, D.; Silva, I. D. A.; Magon, C. J.; de Santana, R. Costa; Audebrand, N.; Manzur, J.; Spodine, E.</t>
  </si>
  <si>
    <t>Magnetic properties of composites based on the intercalation of ZnII and CuII bimetallic macrocyclic complexes in the MnPS3 phase</t>
  </si>
  <si>
    <t>Asymmetric macrocyclic complexes of the type [M2LCl2]center dot xH(2)O have been obtained and intercalated using the potassium precursor phase K0.4Mn0.8PS3 center dot H2O (M: Zn-II or Cu-II; LH2: macrocyclic ligand derived from 2-hydroxy-5-methyl-1,3-benzenedicarbaldehyde and two different amines, namely, ethylenediamine and o-phenylenediamine). The intercalation of the layered phase K0.4Mn0.8PS3 center dot H2O by the macrocyclic species was carried out by a microwave-assisted reaction and enabled the partial exchange of the hydrated potassium ions located in the interlayer space to obtain the composites K-0.32[Zn2L](0.04)Mn0.8PS3 (1) and K-0.24[Cu2L](0.08)Mn0.8PS3 (2). These magnetic materials were studied by DC and AC magnetization measurements and electron paramagnetic resonance (EPR) spectroscopy. In comparison with the potassium precursor, both composites gave rise to broader and less intense spontaneous magnetization curves at low temperatures. The composite K-0.32[Zn2L](0.04)Mn0.8PS3 (1) exhibited spontaneous magnetization in the form of one broad asymmetric maximum at 27 K. However, K-0.24[Cu2L](0.08)Mn0.8PS3 (2) had two defined maxima at 24 and 12 K. The observation of a maximum in the imaginary part of the AC susceptibility data implies the existence of a spin canting phenomenon that would be responsible for the spontaneous magnetization. The EPR results are qualitatively consistent with the magnetization data and reveal that exchange narrowing effects were responsible for the narrowing and broadening of the line shapes.</t>
  </si>
  <si>
    <t>Santana, Ricardo/AAG-5736-2019; d'Anciães Almeida Silva, Igor/D-7572-2014; Magon, Claudio/G-5442-2013; Paredes-Garcia, Veronica/C-4415-2011; Santana, Ricardo/H-1579-2012; Venegas-Yazigi, Diego/C-5022-2009</t>
  </si>
  <si>
    <t>Santana, Ricardo/0000-0002-6484-7484; Venegas-Yazigi, Diego/0000-0001-7816-2841; Fuentealba, Pablo/0000-0003-0581-1243</t>
  </si>
  <si>
    <t>10.1039/c7ra05089e</t>
  </si>
  <si>
    <t>WOS:000404864100032</t>
  </si>
  <si>
    <t>Alexopoulos, P; Ebert, A; Richter-Schmidinger, T; Schöll, E; Natale, B; Aguilar, CA; Gourzis, P; Weih, M; Perneczky, R; Diehl-Schmid, J; Kneib, T; Förstl, H; Kurz, A; Danek, A; Kornhuber, J</t>
  </si>
  <si>
    <t>Alexopoulos, P.; Ebert, A.; Richter-Schmidinger, T.; Schoell, E.; Natale, B.; Aguilar, C. A.; Gourzis, P.; Weih, M.; Perneczky, R.; Diehl-Schmid, J.; Kneib, T.; Foerstl, H.; Kurz, A.; Danek, A.; Kornhuber, J.</t>
  </si>
  <si>
    <t>Validation of the German Revised Addenbrooke's Cognitive Examination for Detecting Mild Cognitive Impairment, Mild Dementia in Alzheimer's Disease and Frontotemporal Lobar Degeneration</t>
  </si>
  <si>
    <t>DEMENTIA AND GERIATRIC COGNITIVE DISORDERS</t>
  </si>
  <si>
    <t>Background/Aims: The diagnostic accuracy of the German version of the revised Addenbrooke's Cognitive Examination (ACE-R) in identifying mild cognitive impairment (MCI), mild dementia in Alzheimer's disease (AD) and mild dementia in frontotemporal lobar degeneration (FTLD) in comparison with the conventional Mini Mental State Examination (MMSE) was assessed. Methods: The study encompasses 76 cognitively healthy elderly individuals, 75 patients with MCI, 56 with AD and 22 with FTLD. ACE-R and MMSE were validated against an expert diagnosis based on a comprehensive diagnostic procedure. Statistical analysis was performed using the receiver operating characteristic method and regression analyses. Results: The optimal cut-off score for the ACE-R for detecting MCI, AD, and FTLD was 86/87, 82/83 and 83/84, respectively. ACE-R was superior to MMSE only in the detection of patients with FTLD [area under the curve (AUC): 0.97 vs. 0.92], whilst the accuracy of the two instruments did not differ in identifying MCI and AD. The ratio of the scores of the memory ACE-R subtest to verbal fluency subtest contributed significantly to the discrimination between AD and FTLD (optimal cut-off score: 2.30/2.31, AUC: 0.77), whereas the MMSE and ACE-R total scores did not. Conclusion: The German ACE-R is superior to the most commonly employed MMSE in detecting mild dementia in FTLD and in the differential diagnosis between AD and FTLD. Thus it might serve as a valuable instrument as part of a comprehensive diagnostic workup in specialist centres/clinics contributing to the diagnosis and differential diagnosis of the cause of dementia. Copyright (C) 2010 S. Karger AG, Basel</t>
  </si>
  <si>
    <t>Kornhuber, Johannes/JAC-7814-2023; Crespillo Carmen, Aguilar/AAC-6209-2020; förstl, hans/B-5869-2008; Kornhuber, Johannes/B-9613-2014; Danek, Adrian/G-7339-2011; AGUILAR CRESPILLO, CARMEN ISABEL/ADI-7042-2022</t>
  </si>
  <si>
    <t>Kneib, Thomas/0000-0003-3390-0972; Diehl-Schmid, Janine/0000-0002-7745-1382; Forstl, Hans/0000-0002-6188-6883; Perneczky, Robert/0000-0003-1981-7435; Alexopoulos, Panos/0000-0002-9047-6365; Kornhuber, Johannes/0000-0002-8096-3987; Danek, Adrian/0000-0001-8857-5383; AGUILAR CRESPILLO, CARMEN ISABEL/0000-0002-4440-562X</t>
  </si>
  <si>
    <t>1420-8008</t>
  </si>
  <si>
    <t>10.1159/000312685</t>
  </si>
  <si>
    <t>WOS:000278387800009</t>
  </si>
  <si>
    <t>Lazar, M; López, RA; Moya, PS; Poedts, S; Shaaban, SM</t>
  </si>
  <si>
    <t>Lazar, M.; Lopez, R. A.; Moya, P. S.; Poedts, S.; Shaaban, S. M.</t>
  </si>
  <si>
    <t>The aperiodic firehose instability of counter-beaming electrons in space plasmas</t>
  </si>
  <si>
    <t>Context. Recent studies have revealed new unstable regimes of the counter-beaming electrons specific to hot and dilute plasmas from astrophysical scenarios: an aperiodic firehose-like instability is induced for highly oblique angles of propagation relative to the magnetic field, resembling the fast growing and aperiodic mode triggered by the temperature anisotropy T-parallel to &gt; T-perpendicular to (where parallel to, perpendicular to denote directions relative to the magnetic field). Aims. The counter-beaming electron firehose instability is investigated here for space plasma conditions, which include not only a specific plasma parameterization but, in particular, the influence of an embedding background plasma of electrons and ions (protons). Methods. We applied fundamental plasma kinetic theory to prescribe the unstable regimes, characterize the wave-number dispersion of the growth rates, and differentiate from the regimes of interplay with other instabilities. We also used numerical particle-in-cell (PIC) simulations to confirm the instability of these aperiodic modes, and their effects on the relaxation of counter-beaming electrons. Results. Linear theory predicts a systematic inhibition of the (counter-)beaming electron firehose instability (BEFI) by reduction of the growth rates and the range of unstable wave-number with increasing relative density of the background electrons. To obtain finite and reasonably high values of the growth rate, the (relative) beam speed does not need to be very high (just comparable to the thermal speed), but the (counter-)beams must be dense enough, with a relative density of at least 15%-20% of the total density. Quantified in terms of the beam speed and the beta parameter, the plasma parametric conditions favorable to this instability are also markedly reduced under the influence of background electrons. Numerical simulations confirm not only that BEFI can be excited in the presence of background electrons, but also the inhibiting effect of this population, especially when this latter is cooler. In the regimes of transition to electrostatic (ES) instabilities, BEFI is still robust enough to develop as a secondary instability, after the relaxation of beams under a quick interaction with ES fluctuations. Conclusions. To the features presented in previous studies, we can add that BEFI resembles the properties of solar wind firehose heat-flux instability triggered along the magnetic field by the anti-sunward electron strahl. However, BEFI is driven by a double (counter-beaming) electron strahl, and develops at highly oblique angles, which makes it potentially effective in the regularization and relaxation of the electron counter-beams observed in expanding coronal loops (with closed magnetic field topology) and in interplanetary shocks.</t>
  </si>
  <si>
    <t>Lazar, Marian/U-7133-2019; Shaaban, Shaaban/O-4663-2019; Poedts, Stefaan/AAG-1995-2019; Poedts, Stefaan/C-9775-2012; Lopez, Rodrigo/H-7576-2013; Lazar, Marian/C-3264-2012; Moya, Pablo S./C-3163-2011</t>
  </si>
  <si>
    <t>Poedts, Stefaan/0000-0002-1743-0651; Lopez, Rodrigo/0000-0003-3223-1498; Lazar, Marian/0000-0002-8508-5466; Moya, Pablo S./0000-0002-9161-0888; Shaaban, Shaaban Mohammed/0000-0003-0465-598X</t>
  </si>
  <si>
    <t>FEB 8</t>
  </si>
  <si>
    <t>A85</t>
  </si>
  <si>
    <t>10.1051/0004-6361/202245163</t>
  </si>
  <si>
    <t>WOS:000931495300009</t>
  </si>
  <si>
    <t>Castillo, JP; Tong, AB; Tafoya, S; Jardine, PJ; Bustamante, C</t>
  </si>
  <si>
    <t>Castillo, Juan P.; Tong, Alexander B.; Tafoya, Sara; Jardine, Paul J.; Bustamante, Carlos</t>
  </si>
  <si>
    <t>A DNA packaging motor inchworms along one strand allowing it to adapt to alternative double-helical structures</t>
  </si>
  <si>
    <t>Ring ATPases that translocate disordered polymers possess lock-washer architectures that they impose on their substrates during transport via a hand-over-hand mechanism. Here, we investigate the operation of ring motors that transport ordered, helical substrates, such as the bacteriophage 29 dsDNA packaging motor. This pentameric motor alternates between an ATP loading dwell and a hydrolysis burst wherein it packages one turn of DNA in four steps. When challenged with DNA-RNA hybrids and dsRNA, the motor matches its burst to the shorter helical pitches, keeping three power strokes invariant while shortening the fourth. Intermittently, the motor loses grip on the RNA-containing substrates, indicating that it makes optimal load-bearing contacts with dsDNA. To rationalize these observations, we propose a helical inchworm translocation mechanism in which, during each cycle, the motor increasingly adopts a lock-washer structure during the ATP loading dwell and successively regains its planar form with each power stroke during the burst. Ring ATPase translocases that operate on disordered substrates adopt lockwasher architectures and use a hand-over-hand mechanism. By challenging the dsDNA packaging motor of bacteriophage phi 29 with hybrid and dsRNA, the authors propose that the motor cycles between planar and lock-washer structures.</t>
  </si>
  <si>
    <t>Jardine, Paul/GWM-5774-2022</t>
  </si>
  <si>
    <t>Tong, Alex/0000-0003-3793-2533; Jardine, Paul/0000-0002-1090-0550; Castillo Gutierrez, Juan Pablo/0000-0002-9996-6360</t>
  </si>
  <si>
    <t>10.1038/s41467-021-23725-5</t>
  </si>
  <si>
    <t>WOS:000664855200001</t>
  </si>
  <si>
    <t>Libkind, D; Peris, D; Cubillos, FA; Steenwyk, JL; Opulente, DA; Langdon, QK; Rokas, A; Hittinger, CT</t>
  </si>
  <si>
    <t>Libkind, D.; Peris, D.; Cubillos, F. A.; Steenwyk, J. L.; Opulente, D. A.; Langdon, Q. K.; Rokas, A.; Hittinger, C. T.</t>
  </si>
  <si>
    <t>Into the wild: new yeast genomes from natural environments and new tools for their analysis</t>
  </si>
  <si>
    <t>FEMS YEAST RESEARCH</t>
  </si>
  <si>
    <t>Genomic studies of yeasts from the wild have increased considerably in the past few years. This revolution has been fueled by advances in high-throughput sequencing technologies and a better understanding of yeast ecology and phylogeography, especially for biotechnologically important species. The present review aims to first introduce new bioinformatic tools available for the generation and analysis of yeast genomes. We also assess the accumulated genomic data of wild isolates of industrially relevant species, such as Saccharomyces spp., which provide unique opportunities to further investigate the domestication processes associated with the fermentation industry and opportunistic pathogenesis. The availability of genome sequences of other less conventional yeasts obtained from the wild has also increased substantially, including representatives of the phyla Ascomycota (e.g. Hanseniaspora) and Basidiomycota (e.g. Phaffia). Here, we review salient examples of both fundamental and applied research that demonstrate the importance of continuing to sequence and analyze genomes of wild yeasts.</t>
  </si>
  <si>
    <t>Rokas, Antonis/A-9775-2008; Cubillos, Francisco/MIT-2389-2025; Steenwyk, Jacob/I-9093-2019; Opulente, Dana/AGP-4445-2022; Cubillos, Francisco/G-5195-2019; Peris, David/K-8393-2018</t>
  </si>
  <si>
    <t>Cubillos, Francisco/0000-0003-3022-469X; Steenwyk, Jacob L./0000-0002-8436-595X; Peris, David/0000-0001-9912-8802; Opulente, Dana/0000-0003-3224-7510; Rokas, Antonis/0000-0002-7248-6551</t>
  </si>
  <si>
    <t>1567-1356</t>
  </si>
  <si>
    <t>1567-1364</t>
  </si>
  <si>
    <t>foaa008</t>
  </si>
  <si>
    <t>10.1093/femsyr/foaa008</t>
  </si>
  <si>
    <t>WOS:000536497400003</t>
  </si>
  <si>
    <t>Akentjew, TL; Terraza, C; Suazo, C; Maksimcuka, J; Wilkens, CA; Vargas, F; Zavala, G; Ocaña, M; Enrione, J; García-Herrera, CM; Valenzuela, LM; Blaker, JJ; Khoury, M; Acevedo, JP</t>
  </si>
  <si>
    <t>Akentjew, Tamara L.; Terraza, Claudia; Suazo, Cristian; Maksimcuka, Jekaterina; Wilkens, Camila A.; Vargas, Francisco; Zavala, Gabriela; Ocana, Macarena; Enrione, Javier; Garcia-Herrera, Claudio M.; Valenzuela, Loreto M.; Blaker, Jonny J.; Khoury, Maroun; Pablo Acevedo, Juan</t>
  </si>
  <si>
    <t>Rapid fabrication of reinforced and cell-laden vascular grafts structurally inspired by human coronary arteries (vol 10, 3098, 2019)</t>
  </si>
  <si>
    <t>zavala, gabriela/AAU-2913-2020; Suazo Jara, Cristian/LLL-2163-2024; García-Herrera, Claudio/ABE-8991-2020; Enrione, Javier/I-9225-2014; Terraza-Aguirre, Claudia/B-9891-2016</t>
  </si>
  <si>
    <t>Terraza-Aguirre, Claudia/0000-0001-6851-6300; Zavala, Gabriela/0000-0002-4745-9498</t>
  </si>
  <si>
    <t>JUL 31</t>
  </si>
  <si>
    <t>10.1038/s41467-019-11446-9</t>
  </si>
  <si>
    <t>WOS:000477953300002</t>
  </si>
  <si>
    <t>García, AM; Sedeño, L; Trujillo, N; Bocanegra, Y; Gomez, D; Pineda, D; Villegas, A; Muñoz, E; Arias, W; Ibáñez, A</t>
  </si>
  <si>
    <t>Garcia, Adolfo M.; Sedeno, Lucas; Trujillo, Natalia; Bocanegra, Yamile; Gomez, Diana; Pineda, David; Villegas, Andres; Munoz, Edinson; Arias, William; Ibanez, Agustin</t>
  </si>
  <si>
    <t>Language Deficits as a Preclinical Window into Parkinson's Disease: Evidence from Asymptomatic Parkin and Dardarin Mutation Carriers</t>
  </si>
  <si>
    <t>JOURNAL OF THE INTERNATIONAL NEUROPSYCHOLOGICAL SOCIETY</t>
  </si>
  <si>
    <t>Objectives: The worldwide spread of Parkinson's disease (PD) calls for sensitive and specific measures enabling its early (or, ideally, preclinical) detection. Here, we use language measures revealing deficits in PD to explore whether similar disturbances are present in asymptomatic individuals at risk for the disease. Methods: We administered executive, semantic, verb-production, and syntactic tasks to sporadic PD patients, genetic PD patients with PARK2 (parkin) or LRRK2 (dardarin) mutation, asymptomatic first-degree relatives of the latter with similar mutations, and socio-demographically matched controls. Moreover, to detect sui generis language disturbances, we ran analysis of covariance tests using executive functions as covariate. Results: The two clinical groups showed impairments in all measures, most of which survived covariation with executive functions. However, the key finding concerned asymptomatic mutation carriers. While these subjects showed intact executive, semantic, and action-verb production skills, they evinced deficits in a syntactic test with minimal working memory load. Conclusions: We propose that this sui generis disturbance may constitute a prodromal sign anticipating eventual development of PD. Moreover, our results suggest that mutations on specific genes (PARK2 and LRRK2) compromising basal ganglia functioning may be subtly related to language-processing mechanisms.</t>
  </si>
  <si>
    <t>Pineda, David/AAE-4785-2020; Ibanez, Agustin/H-7976-2015; Garcia, Adolfo/E-7150-2017</t>
  </si>
  <si>
    <t>Ibanez, Agustin/0000-0001-6758-5101; Trujillo-Orrego, Natalia/0000-0001-7507-1856; Pineda, David A/0000-0002-1080-4796; Arias, William/0000-0002-2543-4855; Garcia, Adolfo/0000-0002-6936-0114</t>
  </si>
  <si>
    <t>1355-6177</t>
  </si>
  <si>
    <t>1469-7661</t>
  </si>
  <si>
    <t>10.1017/S1355617716000710</t>
  </si>
  <si>
    <t>WOS:000395507900006</t>
  </si>
  <si>
    <t>Kumar, Rajesh; Singh, Rajesh Kumar; Dubey, Pawan Kumar; Singh, Dinesh Pratap; Yadav, Ram Manohar; Tiwari, Radhey Shyam</t>
  </si>
  <si>
    <t>Hydrothermal synthesis of a uniformly dispersed hybrid graphene-TiO2 nanostructure for optical and enhanced electrochemical applications</t>
  </si>
  <si>
    <t>Highly dispersed TiO2 nanoparticles on graphene nanosheets were achieved by hydrothermal treatment of graphene nanosheets obtained by modified Hummer's method followed by thermal exfoliation. The hybrid graphene TiO2 nanostructure composite (H-GTN) showed enhanced optical and electrochemical properties for future application as a supercapacitor. The structural, optical and electrochemical properties of the composite are systematically investigated. The as-prepared H-GTN showed a quenching phenomenon of its photoluminescence properties, which was attributed to the specific properties of graphene. Remarkably, the CV test obtained for H-GTN showed a very high specific capacitance value up to 530 F g(-1) at a scan rate of 3 mV s(-1), and nearly stable capacitance of 400 F g(-1) above 20 mV s(-1). The cyclic stability test shows stable behavior after some initial cycles and the stability was then retained without obvious aging or performance degradation, showing long cyclic stability. This is attributed to the excellent electrochemical performance of the H-GTN electrode material for practical application in energy storage devices.</t>
  </si>
  <si>
    <t>Dubey, Pawan/A-8571-2010; Kumar, Dr. Rajesh/H-6510-2011; Singh, Rajesh kumar/B-2721-2008; SINGH, DINESH/A-2509-2011; Yadav, Prof. Ram Manohar/P-9146-2014</t>
  </si>
  <si>
    <t>Singh, Rajesh kumar/0000-0001-8884-8775; SINGH, DINESH/0000-0002-2893-7749; Yadav, Prof. Ram Manohar/0000-0001-6894-9501; Dubey, Pawan Kumar/0000-0003-4617-368X; Kumar, Rajesh/0000-0001-7065-3259</t>
  </si>
  <si>
    <t>10.1039/c4ra06852a</t>
  </si>
  <si>
    <t>WOS:000347609400012</t>
  </si>
  <si>
    <t>Kertelge, L; Brüggemann, N; Schmidt, A; Tadic, V; Wisse, C; Dankert, S; Drude, L; van der Vegt, J; Siebner, H; Pawlack, H; Pramstaller, PP; Behrens, MI; Ramirez, A; Reichel, D; Buhmann, C; Hagenah, J; Klein, C; Lohmann, K; Kasten, M</t>
  </si>
  <si>
    <t>Kertelge, Lena; Brueggemann, Norbert; Schmidt, Alexander; Tadic, Vera; Wisse, Claudia; Dankert, Sylwia; Drude, Laura; van der Vegt, Joyce; Siebner, Hartwig; Pawlack, Heike; Pramstaller, Peter P.; Isabel Behrens, Maria; Ramirez, Alfredo; Reichel, Dirk; Buhmann, Carsten; Hagenah, Johann; Klein, Christine; Lohmann, Katja; Kasten, Meike</t>
  </si>
  <si>
    <t>Impaired Sense of Smell and Color Discrimination in Monogenic and Idiopathic Parkinson's Disease</t>
  </si>
  <si>
    <t>MOVEMENT DISORDERS</t>
  </si>
  <si>
    <t>Olfaction is typically impaired in idiopathic Parkinson's disease (IPD), but its role is uncertain in monogenic PD. Diminished color discrimination has been suggested as another early sign of dopaminergic dysfunction but not been systematically studied. Furthermore, it is unknown whether both deficits are linked. We examined 100 patients with IPD, 27 manifesting mutation carriers (MC), 20 nonmanifesting mutation carriers (NMC), and 110 controls. Participants underwent a standardized neurological examination, the University of Pennsylvania Smell Identification Test (UPSIT), the Farnsworth-Munsell (FM) color discrimination test, and mutation testing in known PD genes. The monogenic group consisted of 15 Parkin (6MC/9NMC), 17 PINK1 (10MC/7NMC), 8 LRRK2 (4MC/4NMC), 3 SNCA (MC), and 4 ATP13A2 (MC) carriers. Olfaction was most impaired in IPD (UPSIT percentiles 10.1 +/- 13.5) compared with all other groups (MC 13.8 +/- 11.9, NMC 19.6 +/- 13.0, controls 33.8 +/- 22.4). Within MC, carriers of two mutations in Parkin and PINK1 showed higher UPSIT percentiles than LRRK2 and SNCA carriers. Color discrimination was reduced in IPD (FM total error score 134.8 +/- 92.7). In MC (122.4 +/- 142.4), the reduction was most pronounced in LRRK2, NMC (80.0 +/- 38.8) were comparable with controls (97.2 +/- 61.1). UPSIT and FM scores were correlated in the control (r = -0.305; P = 0.002) and the IPD group (r = -0.303; P = 0.006) but not among mutation carriers. First, we confirmed olfaction and color discrimination to be impaired in IPD and suggest olfaction to be a premotor sign. Second, olfaction differed between carriers with one and two mutations in Parkin/PINK1-associated PD. Third, olfaction and color discrimination impairment do not necessarily evolve in parallel. (c) 2010 Movement Disorder Society</t>
  </si>
  <si>
    <t>Klein, Christine/AGK-8003-2022; Ramirez, Alfredo/S-5126-2019; Siebner, Hartwig/ISS-8209-2023; Pramstaller, Peter/C-2357-2008; Behrens, Maria Isabel/I-1083-2013</t>
  </si>
  <si>
    <t>Pramstaller, Peter P/0000-0002-9831-8302; Ramirez, Alfredo/0000-0003-4991-763X; Behrens, Maria Isabel/0000-0003-0964-426X; Kasten, Meike/0000-0003-1910-6035; Klein, Christine/0000-0003-2102-3431</t>
  </si>
  <si>
    <t>0885-3185</t>
  </si>
  <si>
    <t>1531-8257</t>
  </si>
  <si>
    <t>10.1002/mds.23272</t>
  </si>
  <si>
    <t>WOS:000284060600028</t>
  </si>
  <si>
    <t>Staelens, S; De Beenhouwer, J; Kruecker, D; Maigne, L; Rannou, F; Ferrer, L; D'Asseler, Y; Buvat, I; Lemahieu, I</t>
  </si>
  <si>
    <t>Staelens, S.; De Beenhouwer, J.; Kruecker, D.; Maigne, L.; Rannou, F.; Ferrer, L.; D'Asseler, Y.; Buvat, I.; Lemahieu, I.</t>
  </si>
  <si>
    <t>GATE: Improving the computational efficiency</t>
  </si>
  <si>
    <t>NUCLEAR INSTRUMENTS &amp; METHODS IN PHYSICS RESEARCH SECTION A-ACCELERATORS SPECTROMETERS DETECTORS AND ASSOCIATED EQUIPMENT</t>
  </si>
  <si>
    <t>3rd International Conference on Imaging Technologies in Biomedical Sciences</t>
  </si>
  <si>
    <t>SEP 25-29, 2005</t>
  </si>
  <si>
    <t>Milos, GREECE</t>
  </si>
  <si>
    <t>GATE is a software dedicated to Monte Carlo simulations in Single Photon Emission Computed Tomography (SPECT) and Positron Emission Tomography (PET). An important disadvantage of those simulations is the fundamental burden of computation time. This manuscript describes three different techniques in order to improve the efficiency of those simulations. Firstly, the implementation of variance reduction techniques (VRTs), more specifically the incorporation of geometrical importance sampling, is discussed. After this, the newly designed cluster version of the GATE software is described. The experiments have shown that GATE simulations scale very well on a cluster of homogeneous computers. Finally, an elaboration on the deployment of GATE on the Enabling Grids for E-Science in Europe (EGEE) grid will conclude the description of efficiency enhancement efforts. The three aforementioned methods improve the efficiency of GATE to a large extent and make realistic patient-specific overnight Monte Carlo simulations achievable. (c) 2006 Elsevier B.V. All rights reserved.</t>
  </si>
  <si>
    <t>Maigne, Lydia/H-3137-2018; D'Asseler, yves/CAA-1288-2022; Rannou, Fernando/G-5749-2019; BUVAT, Irene/U-8447-2018; Krücker, Dirk/X-1844-2019; Ferrer, Ludovic/M-2945-2015; Staelens, Steven/D-8385-2017; Lemahieu, Ignace/G-8625-2012</t>
  </si>
  <si>
    <t>Staelens, Steven/0000-0003-3376-0519; Lemahieu, Ignace/0000-0002-0894-9988; Ferrer, Ludovic/0000-0002-5166-1998; De Beenhouwer, Jan/0000-0001-5253-1274; Rannou, Fernando/0000-0002-3244-1893</t>
  </si>
  <si>
    <t>0168-9002</t>
  </si>
  <si>
    <t>1872-9576</t>
  </si>
  <si>
    <t>10.1016/j.nima.2006.08.070</t>
  </si>
  <si>
    <t>WOS:000243241300042</t>
  </si>
  <si>
    <t>Donoso-González, O; Jara-Guajardo, P; Cabrera, P; Hengsbach, R; Noyong, M; Aldunate, R; Sierpe, R; Araya, E; Celis, F; Melo, F; Simon, U; Yutronic, N; Kogan, MJ</t>
  </si>
  <si>
    <t>Donoso-Gonzalez, Orlando; Jara-Guajardo, Pedro; Cabrera, Pablo; Hengsbach, Rebecca; Noyong, Michael; Aldunate, Rebeca; Sierpe, Rodrigo; Araya, Eyleen; Celis, Freddy; Melo, Francisco; Simon, Ulrich; Yutronic, Nicolas; Kogan, Marcelo J.</t>
  </si>
  <si>
    <t>Gold nanostars functionalized with a D-peptide promote disaggregation and improve detection of amyloid-β fibrils: In vitro and In vivo studies</t>
  </si>
  <si>
    <t>Gold nanostars (AuNS) provide remarkable advantages for disease diagnosis and therapy. AuNS offer a superior platform for surface-enhanced spectroscopy, and recent findings indicate that their spikes allow unique interactions with protein aggregates, making their use in the detection and therapy of amyloid aggregates promising, although still in nascent stages. This study investigated the development of a nanosystem utilizing AuNS and the D1 peptide for the disaggregation and enhanced detection of amyloid-beta (A beta) aggregates, both in vitro and in vivo. This AuNS-D1 nanosystem was constructed via covalent attachment of the peptide, exhibiting optical and surface properties suitable for bioapplications. The effectiveness of an AuNS-based nanosystem in disaggregating A beta fibrils was demonstrated for the first time through incubation at a defined concentration range. The AuNS-D1 nanosystem improved the detection of A beta fibrils using the thioflavin probe due to the fluorescence surface-enhanced effect. In vivo assays indicated that the AuNS-D1 nanosystem exhibits superior disaggregating efficacy on the amyloid load in a transgenic Caenorhabditis elegans model compared to the D1 peptide, evidenced by a reduction in both the number and size of the amyloid load following the incubation of the nematodes with AuNS-D1. These results are encouraging and suggest that AuNS-D1 may serve as an effective diagnostic and therapeutic agent for amyloid-related diseases, including Alzheimer's disease.</t>
  </si>
  <si>
    <t>kogan, Marcelo/I-2868-2013; Simon, Ulrich/K-7737-2013; Noyong, Michael/I-6207-2016; Celis, Freddy/GPT-0287-2022; Donoso, Orlando/HTR-8548-2023</t>
  </si>
  <si>
    <t>Donoso-Gonzalez, Orlando/0000-0002-9614-7781</t>
  </si>
  <si>
    <t>10.1016/j.mtchem.2024.102482</t>
  </si>
  <si>
    <t>WOS:001396259900001</t>
  </si>
  <si>
    <t>Diaz-Dinamarca, DA; Salazar, M; Manubens, A; Salazar, F; Troncoso, MF; Lavandero, S; Diaz, J; Vasquez, AE; Becker, MI</t>
  </si>
  <si>
    <t>Diaz-Dinamarca, Diego A.; Salazar, Michelle; Manubens, Augusto; Salazar, Fabian; Troncoso, Mayarling F.; Lavandero, Sergio; Diaz, Janepsy; Vasquez, Abel E.; Becker, Maria Ines</t>
  </si>
  <si>
    <t>Recombinant Surface Immunogenic Protein from S. agalactiae and hemocyanin from Fisurella latimarginata promote cross-presentation dependence on the TLR-4 signaling</t>
  </si>
  <si>
    <t>JOURNAL OF IMMUNOLOGY</t>
  </si>
  <si>
    <t>Annual Meeting of the American-Association-of-Immunologists (AAI)</t>
  </si>
  <si>
    <t>MAY 11-15, 2023</t>
  </si>
  <si>
    <t>Washington, DC</t>
  </si>
  <si>
    <t>Amer Assoc Immunol</t>
  </si>
  <si>
    <t>Salazar, Fabian/AAW-2488-2020; Becker, María/R-8252-2019; Lavandero, Sergio/B-6001-2013</t>
  </si>
  <si>
    <t>0022-1767</t>
  </si>
  <si>
    <t>1550-6606</t>
  </si>
  <si>
    <t>MAY 1</t>
  </si>
  <si>
    <t>WOS:001106506502308</t>
  </si>
  <si>
    <t>Lazar, M; Shaaban, SM; López, RA; Poedts, S</t>
  </si>
  <si>
    <t>Lazar, M.; Shaaban, S. M.; Lopez, R. A.; Poedts, S.</t>
  </si>
  <si>
    <t>About the effects of solar wind suprathermal electrons on electrostatic waves</t>
  </si>
  <si>
    <t>ASTROPHYSICS AND SPACE SCIENCE</t>
  </si>
  <si>
    <t>Electrostatic (ES) waves generated in space plasmas, e.g., Langmuir and ion-acoustic waves, are subject to multiple applications, such as plasma diagnosis, generation of radio emissions, and the acceleration and heating of resonant populations. The dispersion properties of these waves are well known for idealized plasmas, i.e., with Maxwellian distributions, but in the solar wind and terrestrial magnetosphere plasma particles exhibit Kappa distributions with high energy tails enhanced by suprathermal populations. This paper proposes a realistic analysis of these populations and their influence on ES waves, which often is hindered by a misinterpretation of Kappa distributions. Of particular importance in the analysis of ES waves is the Debye wavelength, the correct derivation of which shows, as expected, an increase (and not a decrease) in the presence of suprathermal electrons. Based on these new evaluations, we show how the suprathermal electrons self-consistently modify the properties of ES waves. For Langmuir waves, the positive slope of the frequency increase with the wave-number is markedly enhanced, involving more resonant particles from the high-energy tails, and thus leading to enhanced damping rates. In contrast, ion-acoustic waves are supported by suprathermal electrons, which increase the kinetic energy contrast between electrons and protons, and thus reduce the damping rate of ion-acoustic waves. Obviously, suprathermal protons do not affect Langmuir waves, but inhibit ion-acoustic modes. The present results provide both the methodology and the theoretical tools necessary to understand the physical processes involving these waves in non-ideal plasmas from space.</t>
  </si>
  <si>
    <t>Lazar, Marian/U-7133-2019; Shaaban, Shaaban/O-4663-2019; Poedts, Stefaan/AAG-1995-2019; Lopez, Rodrigo/H-7576-2013; Lazar, Marian/C-3264-2012; Poedts, Stefaan/C-9775-2012</t>
  </si>
  <si>
    <t>0004-640X</t>
  </si>
  <si>
    <t>1572-946X</t>
  </si>
  <si>
    <t>10.1007/s10509-022-04116-8</t>
  </si>
  <si>
    <t>WOS:000864638700001</t>
  </si>
  <si>
    <t>McTiernan, CD; Zuñiga-Bustos, M; Rosales-Rojas, R; Barrias, P; Griffith, M; Poblete, H; Sherin, PS; López-Duarte, I; Kuimova, MK; Alarcon, EI</t>
  </si>
  <si>
    <t>McTiernan, Christopher D.; Zuniga-Bustos, Matias; Rosales-Rojas, Roberto; Barrias, Pablo; Griffith, May; Poblete, Horacio; Sherin, Peter S.; Lopez-Duarte, Ismael; Kuimova, Marina K.; Alarcon, Emilio, I</t>
  </si>
  <si>
    <t>Molecular rotors as reporters for viscosity of solutions of collagen like peptides</t>
  </si>
  <si>
    <t>We have studied the suitability of using a molecular rotor-based steady-state fluorometric assay for evaluating changes in both the conformation and the viscosity of collagen-like peptide solutions. Our results indicate that a positive charge incorporated on the hydrophobic tail of the BODIPY molecular rotor favours the dye specificity as a reporter for viscosity of these solutions.</t>
  </si>
  <si>
    <t>Poblete, Horacio/E-4974-2012; Zuniga-Bustos, Matias/KXR-7091-2024; Lopez-Duarte, Ismael/B-2806-2017; Sherin, Petr/N-1508-2016; Kuimova, Marina/B-9443-2017; Barrias, Pablo/V-7218-2018</t>
  </si>
  <si>
    <t>Lopez-Duarte, Ismael/0000-0002-9941-8305; Griffith, May/0000-0003-1222-6720; Zuniga-Bustos, Matias/0000-0003-2448-9376; Sherin, Petr/0000-0002-9169-4655; Alarcon, Emilio/0000-0001-5100-6179; Kuimova, Marina/0000-0003-2383-6014; Barrias, Pablo/0000-0003-4072-4436</t>
  </si>
  <si>
    <t>10.1039/d1cp04398f</t>
  </si>
  <si>
    <t>WOS:000711538700001</t>
  </si>
  <si>
    <t>Etcheverry-Berríos, A; Olavarría, I; Perrin, ML; Díaz-Torres, R; Jullian, D; Ponce, I; Zagal, JH; Pavez, J; Vásquez, SO; van der Zant, HSJ; Dulic, D; Aliaga-Alcalde, N; Soler, M</t>
  </si>
  <si>
    <t>Etcheverry-Berrios, Alvaro; Olavarria, Ignacio; Perrin, Mickael L.; Diaz-Torres, Raul; Jullian, Domingo; Ponce, Ingrid; Zagal, Jose H.; Pavez, Jorge; Vasquez, Sergio O.; van der Zant, Herre S. J.; Dulic, Diana; Aliaga-Alcalde, Nuria; Soler, Monica</t>
  </si>
  <si>
    <t>Multiscale Approach to the Study of the Electronic Properties of Two Thiophene Curcuminoid Molecules</t>
  </si>
  <si>
    <t>We studied the electronic and conductance properties of two thiophene-curcuminoid molecules, 2-thphCCM (1) and 3-thphCCM (2), in which the only structural difference is the position of the sulfur atoms in the thiophene terminal groups. We used electrochemical techniques as well as UV/Vis absorption studies to obtain the values of the HOMO-LUMO band gap energies, showing that molecule 1 has lower values than 2. Theoretical calculations show the same trend. Self-assembled monolayers (SAMs) of these molecules were studied by using electrochemistry, showing that the interaction with gold reduces drastically the HOMO-LUMO gap in both molecules to almost the same value. Single-molecule conductance measurements show that molecule 2 has two different conductance values, whereas molecule 1 exhibits only one. Based on theoretical calculations, we conclude that the lowest conductance value, similar in both molecules, corresponds to a van der Waals interaction between the thiophene ring and the electrodes. The one order of magnitude higher conductance value for molecule 2 corresponds to a coordinate (dative covalent) interaction between the sulfur atoms and the gold electrodes.</t>
  </si>
  <si>
    <t>Vasquez, Sergio/I-4092-2016; Díaz-Torres, Raúl/AAL-3350-2021; Perrin, Mickael/X-6317-2019; Dulic, Diana/D-5515-2012; zagal, jose/L-9648-2014; Ponce, Ingrid/L-9679-2014; van der Zant, Herre/J-9467-2016; Jullian, Domingo/U-3345-2017; Soler, Monica/A-6705-2013; PAVEZ, JORGE/K-6904-2014; Etcheverry-Berrios, Alvaro/O-3990-2018; Aliaga-Alcalde, Nuria/H-5886-2011</t>
  </si>
  <si>
    <t>Jullian, Domingo/0000-0001-7391-7475; Dulic, Diana/0000-0002-8302-5507; Diaz-Torres, Raul/0000-0002-1406-6436; Soler, Monica/0000-0003-2125-6809; PAVEZ, JORGE/0000-0002-5100-6707; Perrin, Mickael/0000-0003-3172-889X; Etcheverry-Berrios, Alvaro/0000-0002-4965-3411; Aliaga-Alcalde, Nuria/0000-0003-1080-3862</t>
  </si>
  <si>
    <t>10.1002/chem.201601187</t>
  </si>
  <si>
    <t>WOS:000383758200035</t>
  </si>
  <si>
    <t>Abisha, M; Priya, RK; Arunachalam, KP; Avudaiappan, S; Flores, EIS; Parra, PF</t>
  </si>
  <si>
    <t>Abisha, M.; Priya, R. Krishna; Arunachalam, Krishna Prakash; Avudaiappan, Siva; Flores, Erick I. Saavedra I.; Parra, Pablo Fernando</t>
  </si>
  <si>
    <t>Biodegradable Green Composites: Effects of Potassium Permanganate (KMnO4) Treatment on Thermal, Mechanical, and Morphological Behavior of Butea Parviflora (BP) Fibers</t>
  </si>
  <si>
    <t>This study emphasizes the importance of utilizing biodegradable material Butea parviflora (BP) fiber for sustainable solutions. BP fiber offers numerous ecological benefits, such as being lightweight, biodegradable, and affordable to recycle. The study examines the effects of potassium permanganate (KMnO4) treatment on BP fiber and analyzes its physical and chemical behavior using various methods, including X-ray Diffraction (XRD) analysis, tensile testing, thermogravimetric analysis, thermal conductivity, Scanning Electron Microscopy (SEM), and Fourier Transform Infrared spectroscopic (FTIR) analysis. The results demonstrate that BP fiber possesses low density (1.40 g/cc) and high cellulose content (59.4%), which fosters compatibility between the matrix and resin. XRD analysis indicates a high crystallinity index (83.47%) and crystallite size (6.4 nm), showcasing exceptional crystalline behavior. Treated fibers exhibit improved tensile strength (198 MPa) and Young's modulus (4.40 GPa) compared to untreated fibers (tensile strength-92 MPa, tensile modulus-2.16 GPa). The Tg-DTA thermograms reveal the fiber's thermal resistance up to 240 degrees C with a kinetic activation energy between 62.80-63.46 KJ/mol. Additionally, the lowered thermal conductivity (K) from Lee's disc experiment suggests that BP fiber could be used in insulation applications. SEM photographic results display effective surface roughness for composite making, and FTIR studies reveal vibrational variations of cellulosic functional groups, which correlates with increased cellulosic behavior. Overall, the study affirms the potential of BP fiber as a reinforcing material for composite-making while emphasizing the importance of utilizing biodegradable materials for sustainability.</t>
  </si>
  <si>
    <t>Priya, Retnam/GWV-4468-2022; Avudaiappan, Siva/AAV-7579-2021; Parra, Pablo/KIA-8461-2024; ARUNACHALAM, Dr.KRISHNA PRAKASH/AEW-6862-2022</t>
  </si>
  <si>
    <t>Parra, Pablo F./0000-0001-5671-6903; AVUDAIAPPAN, SIVA/0000-0002-4289-4298; ARUNACHALAM, Dr.KRISHNA PRAKASH/0000-0002-5151-2474; Priya, Krishna/0000-0002-5152-861X</t>
  </si>
  <si>
    <t>MAY 5</t>
  </si>
  <si>
    <t>10.3390/polym15092197</t>
  </si>
  <si>
    <t>WOS:000987521600001</t>
  </si>
  <si>
    <t>Prabhakaran, T; Mangalaraja, RV; Béron, F; Jiménez, JA; Denardin, JC; Arun, T; Akbari-Fakhrabadi, A</t>
  </si>
  <si>
    <t>Prabhakaran, T.; Mangalaraja, R. V.; Beron, F.; Jimenez, J. A.; Denardin, Juliano C.; Arun, T.; Akbari-Fakhrabadi, Ali</t>
  </si>
  <si>
    <t>Thermally Reduced Soft Magnetic CuFe Nanoparticles for High-Performance Electrical Devices</t>
  </si>
  <si>
    <t>IEEE TRANSACTIONS ON MAGNETICS</t>
  </si>
  <si>
    <t>Developing economically soft magnetic materials for high-performance electrical devices is indispensable. Here, we present the structural and magnetic properties of thermally reduced soft CuFe nanoparticles. The fcc cubic structure of iron-rich Cu37Fe63 and their composition was confirmed by Rietveld refinement. Cu37Fe63 nanoparticles exhibited high saturation magnetization and coercivity of 127 emu/g (142 emu/g) and 43 Oe (31 Oe), respectively, at 300 K (5 K). They showed transitions at similar to 34 and similar to 249 K due to the Kondo temperature of CuFe and minor fraction of CuFe2O4, respectively. The exchange coupling between Cu and Fe was not significant, as demonstrated by field-cooled magnetization curves at 5 K. The magnetocaloric effect (MCE) in the range of fields and temperatures was estimated whereas the maximum MCE of -8.71 x 10(-2) J.kg(-1).K-1 was achieved at 222 K. These soft magnetic materials, which exhibited stable high saturation magnetization with less heating effect during magnetization and demagnetization cycles, would he suitable candidates for magnetic applications.</t>
  </si>
  <si>
    <t>Denardin, Juliano/S-6407-2019; Viswanathan, Mangalaraja/AAM-6090-2020; Akbari-Fakhrabadi, Ali/G-6987-2016; Thirumurugan, Arun/O-6324-2017; Beron, Fanny/H-5923-2012; Jimenez, Jose A./H-2644-2015; Ramalinga Viswanathan, Mangalaraja/JOZ-3129-2023</t>
  </si>
  <si>
    <t>Thirumurugan, Arun/0000-0001-7261-988X; Beron, Fanny/0000-0002-4926-2963; Jimenez, Jose A./0000-0003-4272-6873; Ramalinga Viswanathan, Mangalaraja/0000-0003-1016-9830</t>
  </si>
  <si>
    <t>0018-9464</t>
  </si>
  <si>
    <t>1941-0069</t>
  </si>
  <si>
    <t>10.1109/TMAG.2020.3042130</t>
  </si>
  <si>
    <t>WOS:000611096900122</t>
  </si>
  <si>
    <t>Gasieniec, LA; Jansson, J; Levcopoulos, C</t>
  </si>
  <si>
    <t>Maximum Rectilinear Convex Subsets</t>
  </si>
  <si>
    <t>FUNDAMENTALS OF COMPUTATION THEORY, FCT 2019</t>
  </si>
  <si>
    <t>22nd International Symposium on Fundamentals of Computation Theory (FCT)</t>
  </si>
  <si>
    <t>AUG 12-14, 2019</t>
  </si>
  <si>
    <t>Copenhagen, DENMARK</t>
  </si>
  <si>
    <t>Let P be a set of n points in the plane. We consider a variation of the classical Erdos-Szekeres problem, presenting efficient algorithms with O(n(3)) running time and O(n(2)) space complexity that compute: (1) A subset S of P such that the boundary of the rectilinear convex hull of S has the maximum number of points from P, (2) a subset S of P such that the boundary of the rectilinear convex hull of S has the maximum number of points from P and its interior contains no element of P, (3) a subset S of P such that the rectilinear convex hull of S has maximum area and its interior contains no element of P, and (4) when each point of P is assigned a weight, positive or negative, a subset S of P that maximizes the total weight of the points in the rectilinear convex hull of S.</t>
  </si>
  <si>
    <t>Seara, Carlos/Z-3370-2019; Orden, David/K-7566-2014; /H-8836-2015</t>
  </si>
  <si>
    <t>Orden, David/0000-0001-5403-8467; /0000-0002-9543-7170; Seara, Carlos/0000-0002-0095-1725</t>
  </si>
  <si>
    <t>978-3-030-25027-0; 978-3-030-25026-3</t>
  </si>
  <si>
    <t>10.1007/978-3-030-25027-0_19</t>
  </si>
  <si>
    <t>WOS:000722623400018</t>
  </si>
  <si>
    <t>Oyarzún, S; Rortais, F; Rojas-Sánchez, JC; Bottegoni, F; Laczkowski, P; Vergnaud, C; Pouget, S; Okuno, H; Vila, L; Attané, JP; Beigné, C; Marty, A; Gambarelli, S; Ducruet, C; Widiez, J; George, JM; Jaffrès, H; Jamet, M</t>
  </si>
  <si>
    <t>Oyarzun, Simon; Rortais, Fabien; Rojas-Sanchez, Juan-Carlos; Bottegoni, Federico; Laczkowski, Piotr; Vergnaud, Celine; Pouget, Stephanie; Okuno, Hanako; Vila, Laurent; Attane, Jean-Philippe; Beigne, Cyrille; Marty, Alain; Gambarelli, Serge; Ducruet, Clarisse; Widiez, Julie; George, Jean-Marie; Jaffres, Henri; Jamet, Matthieu</t>
  </si>
  <si>
    <t>Spin-Charge Conversion Phenomena in Germanium</t>
  </si>
  <si>
    <t>JOURNAL OF THE PHYSICAL SOCIETY OF JAPAN</t>
  </si>
  <si>
    <t>The spin-orbit coupling relating the electron spin and momentum allows for spin generation, detection and manipulation. It thus fulfils the three basic functions of the spin field-effect-transistor made of semiconductors. In this paper, we review our recent results on spin-charge conversion in bulk germanium and at the Ge(111) surface. We used the spin pumping technique to generate pure spin currents to be injected into bulk germanium and at the Fe/Ge(111) interface. The mechanism for spin-charge conversion in bulk germanium is the spin Hall effect and we could experimentally determine the spin Hall angle theta(SHE), i.e., the spin-charge conversion efficiency, in heavily doped n-type and p-type germanium. We found very small values at room temperature: theta(SHE) approximate to (1-2) x 10(-3) in n-Ge and theta(SHE) approximate to (6-7) x 10(-4) in p-Ge. Moreover, we pointed out the essential role of spin dependent scattering on ionized impurities in the spin Hall effect mechanism. We concluded that the spin Hall effect in bulk germanium is too weak to produce large spin currents, whereas a large Rashba effect (&gt; 100 meV) at Ge(111) surfaces covered with heavy metals could generate spin polarized currents. We could indeed demonstrate a giant spin-to-charge conversion in metallic states at the Fe/Ge(111) interface due to the Rashba coupling. We generated very large charge currents by direct spin pumping into the interface states from 20K to room temperature. By this, we raise a new paradigm: the possibility to use the spin-orbit coupling for the development of the spin-field-effect-transistor.</t>
  </si>
  <si>
    <t>JAFFRES, Henri/KBD-2984-2024; marty, alain/H-7941-2014; pouget, stephanie/H-8164-2014; Bottegoni, Federico/C-9705-2016; Oyarzun, Simon/M-1769-2014; Rojas-Sanchez, Juan-Carlos/N-9963-2015; Vila, Laurent/J-3467-2012</t>
  </si>
  <si>
    <t>VERGNAUD, Celine/0000-0003-2728-4149; WIDIEZ, Julie/0000-0003-2172-6313; Attane, Jean-Philippe/0000-0001-6320-616X; Bottegoni, Federico/0000-0002-3108-0563; Oyarzun, Simon/0000-0002-8764-7944; Rojas-Sanchez, Juan-Carlos/0000-0001-7044-2785; Vila, Laurent/0000-0002-1171-2391; Okuno, Hanako/0000-0002-7688-9526</t>
  </si>
  <si>
    <t>0031-9015</t>
  </si>
  <si>
    <t>10.7566/JPSJ.86.011002</t>
  </si>
  <si>
    <t>WOS:000391858100002</t>
  </si>
  <si>
    <t>Appia-Ayme, C; Quatrini, R; Denis, Y; Denizot, F; Silver, S; Roberto, F; Veloso, F; Valdés, J; Cárdenas, JP; Esparza, M; Orellana, O; Jedlicki, E; Bonnefoy, V; Holmes, DS</t>
  </si>
  <si>
    <t>Appia-Ayme, Corinne; Quatrini, Raquel; Denis, Yann; Denizot, Francois; Silver, Simon; Roberto, Francisco; Veloso, Felipe; Valdes, Jorge; Cardenas, Juan Pablo; Esparza, Mario; Orellana, Omar; Jedlicki, Eugenia; Bonnefoy, Violaine; Holmes, David S.</t>
  </si>
  <si>
    <t>Microarray and bioinformatic analyses suggest models for carbon metabolism in the autotroph Acidithiobacillus ferrooxidans</t>
  </si>
  <si>
    <t>HYDROMETALLURGY</t>
  </si>
  <si>
    <t>16th International Biohydrometallurgy Symposium (IBS2005)</t>
  </si>
  <si>
    <t>Cape Town, SOUTH AFRICA</t>
  </si>
  <si>
    <t>Acidithiobacillus ferrooxidans is a chemolithoautotrophic bacterium that uses iron or sulfur as an energy and electron source. Bioinformatic analysis of the A. ferrooxidans draft genome sequence was used to identify putative genes and potential metabolic pathways involved in CO2 fixation, 2P-glycolate detoxification, carboxysome formation and glycogen utilization. Microarray transcript profiling was carried out to compare the relative expression of the predicted genes of these pathways when the microorganism was grown in the presence of iron versus sulfur. Several gene expression patterns were confirmed by real-time PCR. Genes for each of the above-predicted pathways were found to be organized into discrete clusters. Clusters exhibited differential gene expression depending on the presence of iron or sulfur in the medium. Concordance of gene expression within each cluster suggested that they are operons. Most notably, clusters of genes predicted to be involved in CO2 fixation, carboxysome formation, 2P-glycolate detoxification and glycogen biosynthesis were upregulated in sulfur medium, whereas genes involved in glycogen utilization were preferentially expressed in iron medium. These results can be explained in terms of models of gene regulation that suggest how A. ferrooxidans can adjust its central carbon management to respond to changes in its environment. (C) 2006 Elsevier B.V. All rights reserved.</t>
  </si>
  <si>
    <t>Valdes, Jorge/AAL-2779-2021; Cardenas, Juan/AAB-2469-2020; Roberto, Frank/GWC-2615-2022; Quatrini, Raquel/GSD-7689-2022; ESPARZA, MARIO/D-2546-2017; Quatrini, Raquel/N-1801-2013</t>
  </si>
  <si>
    <t>Roberto, Francisco/0000-0001-5459-0892; Veloso, Felipe A./0000-0003-0206-9178; ESPARZA MANTILLA, MARIO RODRIGO/0000-0003-3604-6054; Cardenas, Juan Pablo/0000-0001-6715-7270; Silver, Simon/0000-0002-5692-3125; Quatrini, Raquel/0000-0003-2600-2605; Holmes, David/0000-0001-9555-138X</t>
  </si>
  <si>
    <t>0304-386X</t>
  </si>
  <si>
    <t>1879-1158</t>
  </si>
  <si>
    <t>1-4</t>
  </si>
  <si>
    <t>10.1016/j.hydromet.2006.03.029</t>
  </si>
  <si>
    <t>WOS:000240030200035</t>
  </si>
  <si>
    <t>Acuna-Castillo, C; Vidal, M; Inostroza-Molina, A; Vallejos-Vidal, E; Luraschi, R; Figueroa, M; Barrera-Avalos, C; Vera, R; Vargas, S; Valdes, D; Maisey, K; Imarai, M; Leiva-Salcedo, E; Escobar, A; Reyes-Cerpa, S; Gaete, A; Palma-Vejares, R; Travisany, D; Rojo, LE; Reyes-Lopez, FE; Sandino, AM</t>
  </si>
  <si>
    <t>Acuna-Castillo, Claudio; Vidal, Mabel; Inostroza-Molina, Ailen; Vallejos-Vidal, Eva; Luraschi, Roberto; Figueroa, Maximiliano; Barrera-Avalos, Carlos; Vera, Rodrigo; Vargas, Sergio; Valdes, Daniel; Maisey, Kevin; Imarai, Monica; Leiva-Salcedo, Elias; Escobar, Alejandro; Reyes-Cerpa, Sebastian; Gaete, Alexis; Palma-Vejares, Ricardo; Travisany, Dante; Rojo, Leonel E.; Reyes-Lopez, Felipe E.; Sandino, Ana Maria</t>
  </si>
  <si>
    <t>First Identification of Reinfection by a Genetically Different Variant of SARS-CoV-2 in a Homeless Person from the Metropolitan Area of Santiago, Chile</t>
  </si>
  <si>
    <t>JOURNAL OF ENVIRONMENTAL AND PUBLIC HEALTH</t>
  </si>
  <si>
    <t>The identification and tracking of SARS-CoV-2 infected patients in the general population are essential components of the global strategy to limit the COVID-19 viral spread, specifically for maintaining traceability and suppressing the resurgence of local outbreaks. Public health programs that include continuous RT-qPCR testing for COVID-19 in the general population, viral sequencing, and genomic surveillance for highly contagious forms of the virus have allowed for the identification of SARS-CoV-2 infections and reinfections. This work identified SARS-CoV-2 reinfection in a homeless person, which occurred 58 days after the first COVID-19 diagnosis. Genomic sequencing identified a different Nextstrain classification clade (20A and 20B) and PANGO lineage, with a divergence of 4 single nucleotide variants (SNVs) in S and ORF1ab genes, suggesting reinfection by different viral variants. This study is the first from the great metropolitan area of Santiago, Chile, one of the top ten countries in the world to live during the COVID-19 pandemic. We support the importance of performing intensive genomic surveillance programs in the whole population and high-risk groups, such as homeless people, nearly 20 thousand people in Chile, and have limited access to health care services and poor viral traceability.</t>
  </si>
  <si>
    <t>Escobar, Alejandro/I-2775-2013; Vera, Rodrigo/KIJ-9518-2024; Acuña-Castillo, Claudio/AAI-7090-2021; Maisey, Kevin/AAP-2886-2021; Reyes-López, Felipe/S-1760-2018; Luraschi, Roberto/AAI-7965-2021; Vallejos-Vidal, Eva/R-9606-2019; Vidal, Mabel/F-9968-2016</t>
  </si>
  <si>
    <t>Vallejos-Vidal, Eva/0000-0002-3091-2700; Barrera-Avalos, Carlos/0000-0001-6160-9563; Rojo, Leonel/0000-0002-0188-2266; Vidal, Mabel/0000-0002-0800-1353; Gaete, Alexis/0000-0001-9132-231X; Luraschi, Roberto/0000-0001-5611-4320; Vera Garcia, Rodrigo E./0000-0001-9032-7194; Acuna-Castillo, Claudio/0000-0003-3607-6077; Reyes-Lopez, Felipe E./0000-0002-5001-457X; Maisey, Kevin/0000-0002-7423-6329; Reyes, Sebastian/0000-0002-7676-1266</t>
  </si>
  <si>
    <t>1687-9805</t>
  </si>
  <si>
    <t>1687-9813</t>
  </si>
  <si>
    <t>10.1155/2022/3859071</t>
  </si>
  <si>
    <t>WOS:000795672900002</t>
  </si>
  <si>
    <t>Lagos, NA; Benítez, S; Grenier, C; Rodriguez-Navarro, AB; García-Herrera, C; Abarca-Ortega, A; Vivanco, JF; Benjumeda, I; Vargas, CA; Duarte, C; Lardies, MA</t>
  </si>
  <si>
    <t>Lagos, Nelson A.; Benitez, Samanta; Grenier, Cristian; Rodriguez-Navarro, Alejandro B.; Garcia-Herrera, Claudio; Abarca-Ortega, Aldo; Vivanco, Juan F.; Benjumeda, Isabel; Vargas, Cristian A.; Duarte, Cristian; Lardies, Marco A.</t>
  </si>
  <si>
    <t>Plasticity in organic composition maintains biomechanical performance in shells of juvenile scallops exposed to altered temperature and pH conditions</t>
  </si>
  <si>
    <t>The exposure to environmental variations in pH and temperature has proven impacts on benthic ectotherms calcifiers, as evidenced by tradeoffs between physiological processes. However, how these stressors affect structure and functionality of mollusk shells has received less attention. Episodic events of upwelling of deep cold and low pH waters are well documented in eastern boundary systems and may be stressful to mollusks, impairing both physiological and biomechanical performance. These events are projected to become more intense, and extensive in time with ongoing global warming. In this study, we evaluate the independent and interactive effects of temperature and pH on the biomineral and biomechanical properties of Argopecten purpuratus scallop shells. Total organic matter in the shell mineral increased under reduced pH (similar to 7.7) and control conditions (pH similar to 8.0). The periostracum layer coating the outer shell surface showed increased protein content under low pH conditions but decreasing sulfate and polysaccharides content. Reduced pH negatively impacts shell density and increases the disorder in the orientation of calcite crystals. At elevated temperatures (18 degrees C), shell microhardness increased. Other biomechanical properties were not affected by pH/temperature treatments. Thus, under a reduction of 0.3 pH units and low temperature, the response of A. purpuratus was a tradeoff among organic compounds (biopolymer plasticity), density, and crystal organization (mineral plasticity) to maintain shell biomechanical performance, while increased temperature ameliorated the impacts on shell hardness. Biopolymer plasticity was associated with ecophysiological performance, indicating that, under the influence of natural fluctuations in pH and temperature, energetic constraints might be critical in modulating the long-term sustainability of this compensatory mechanism.</t>
  </si>
  <si>
    <t>Lardies, Marco/R-6203-2017; Duarte, Cristian/I-4013-2016; García-Herrera, Claudio/ABE-8991-2020; Abarca Ortega, Aldo Fabian/ABE-4995-2020</t>
  </si>
  <si>
    <t>Grenier Romero, Christian/0000-0003-4395-1781; Abarca Ortega, Aldo Fabian/0000-0002-1600-8555; Duarte Valenzuela, Cristian Hernan/0000-0002-7033-3551; Vivanco, Juan F./0000-0002-2659-368X; Vargas, Cristian A./0000-0002-1486-3611</t>
  </si>
  <si>
    <t>DEC 17</t>
  </si>
  <si>
    <t>10.1038/s41598-021-03532-0</t>
  </si>
  <si>
    <t>WOS:000731322900005</t>
  </si>
  <si>
    <t>Awad, PS; Lohmann, K; Hirmas, Y; Hinrichs, F; Thomsen, M; Kauffman, M; Lüth, T; Trinh, J; Westenberger, A; Chaná-Cuevas, P; Klein, C</t>
  </si>
  <si>
    <t>Saffie Awad, Paula; Lohmann, Katja; Hirmas, Yasmin; Hinrichs, Frauke; Thomsen, Mirja; Kauffman, Marcelo; Lueth, Theresa; Trinh, Joanne; Westenberger, Ana; Chana-Cuevas, Pedro; Klein, Christine</t>
  </si>
  <si>
    <t>Shaking Up Ataxia: FGF14 and RFC1 Repeat Expansions in Affected and Unaffected Members of a Chilean Family</t>
  </si>
  <si>
    <t>Klein, Christine/AGK-8003-2022; Trinh, Joanne/ABD-5085-2021; Chana-Cuevas, Pedro/AAM-8215-2020</t>
  </si>
  <si>
    <t>Chana-Cuevas, Pedro/0000-0001-9946-3299; Thomsen, Mirja/0009-0004-1148-5493; Westenberger, Ana/0000-0001-8062-6959; Saffie, Paula/0000-0002-8056-365X</t>
  </si>
  <si>
    <t>10.1002/mds.29390</t>
  </si>
  <si>
    <t>WOS:000996135700001</t>
  </si>
  <si>
    <t>Salazar, J; Carmona, T; Zacconi, FC; Venegas-Yazigi, D; Cabello-Verrugio, C; Choi, WI; Vilos, C</t>
  </si>
  <si>
    <t>Salazar, Javier; Carmona, Thais; Zacconi, Flavia C.; Venegas-Yazigi, Diego; Cabello-Verrugio, Claudio; Choi, Won Il; Vilos, Cristian</t>
  </si>
  <si>
    <t>The Human Dermis as a Target of Nanoparticles for Treating Skin Conditions</t>
  </si>
  <si>
    <t>Skin has a preventive role against any damage raised by harmful microorganisms and physical and chemical assaults from the external environment that could affect the body's internal organs. Dermis represents the main section of the skin, and its contribution to skin physiology is critical due to its diverse cellularity, vasculature, and release of molecular mediators involved in the extracellular matrix maintenance and modulation of the immune response. Skin structure and complexity limit the transport of substances, promoting the study of different types of nanoparticles that penetrate the skin layers under different mechanisms intended for skin illness treatments and dermo-cosmetic applications. In this work, we present a detailed morphological description of the dermis in terms of its structures and resident cells. Furthermore, we analyze the role of the dermis in regulating skin homeostasis and its alterations in pathophysiological conditions, highlighting its potential as a therapeutic target. Additionally, we describe the use of nanoparticles for skin illness treatments focused on dermis release and promote the use of metal-organic frameworks (MOFs) as an integrative strategy for skin treatments.</t>
  </si>
  <si>
    <t>Cabello-Verrugio, Claudio/AAD-1454-2020; Vilos, Cristian/KPA-9958-2024; Carmona, Thais/E-6389-2012; Zacconi, Flavia/ACF-5543-2022; Salazar, Javier/JVP-1276-2024; Venegas-Yazigi, Diego/C-5022-2009</t>
  </si>
  <si>
    <t>Vilos, Cristian/0000-0001-5619-3348; Cabello-Verrugio, Claudio/0000-0001-7273-2102; Venegas-Yazigi, Diego/0000-0001-7816-2841; Salazar-Munoz, Javier/0000-0001-6969-9321; Zacconi, Flavia/0000-0002-3676-0453</t>
  </si>
  <si>
    <t>10.3390/pharmaceutics15010010</t>
  </si>
  <si>
    <t>WOS:000922243900001</t>
  </si>
  <si>
    <t>Manikandan, V; Mirzaei, A; Petrila, I; Kavita, S; Mane, RS; Denardin, JC; Lundgaard, S; Juodkazis, S; Chandrasekaran, J; Vigneselvan, S</t>
  </si>
  <si>
    <t>Manikandan, V; Mirzaei, Ali; Petrila, Iulian; Kavita, S.; Mane, R. S.; Denardin, Juliano C.; Lundgaard, Stefan; Juodkazis, Saulius; Chandrasekaran, J.; Vigneselvan, S.</t>
  </si>
  <si>
    <t>Effect of neodymium stimulation on the dielectric, magnetic and humidity sensing properties of iron oxide nanoparticles</t>
  </si>
  <si>
    <t>Neodymium-doped iron oxide (Nd-Fe2O3) nanoparticles (NPs), synthesized via chemical co-precipitation method where particle size is reduced due to the neodymium doping. The addition of neodymium doping, the applied thermal energy of Fe2O3 changes the dielectric constant and loss. At this juncture, the dielectric constant increases due to the elevation of neodymium concentration and thermal energy which eventually reduces the dielectric value. On comparison of dielectric performance, the pristine Fe2O3 endows a high dielectric constant and loss in comparison to Nd-Fe2O3. Neodymium induces the transition from antiferromagnetic to super paramagnetic. The as-fabricated sensors confirm humidity sensing at different ranges. Fascinatingly, the sensitivity of the sensor has increased owing to the increase of neodymium substitution and decrease of particle size while the response time is decreased. The sensors confirm outstanding performance in corrosive environment and their response and sensitivity time values are respectively 5s and 85%.</t>
  </si>
  <si>
    <t>Chandrasekaran, J/ADV-4912-2022; Denardin, Juliano/S-6407-2019; Mane, Rajaram/B-8338-2009; Petrila, Iulian/D-8405-2011; Venkatraman, Manikandan/AAB-7946-2019; Mirzaei, Ali/KLE-0180-2024; Juodkazis, Saulius/Q-6943-2019; Juodkazis, Saulius/D-7615-2011</t>
  </si>
  <si>
    <t>Venkatraman, Manikandan/0000-0003-4882-2663; Chandrasekaran, J./0000-0002-3911-9004; Juodkazis, Saulius/0000-0003-3542-3874; Lundgaard, Stefan/0000-0003-2463-8562</t>
  </si>
  <si>
    <t>10.1016/j.matchemphys.2020.123572</t>
  </si>
  <si>
    <t>WOS:000571543300001</t>
  </si>
  <si>
    <t>Marques, A; Marconcin, P; Werneck, AO; Ferrari, G; Gouveia, ÉR; Kliegel, M; Peralta, M; Ihle, A</t>
  </si>
  <si>
    <t>Marques, Adilson; Marconcin, Priscila; Werneck, Andre O.; Ferrari, Gerson; Gouveia, Elvio R.; Kliegel, Matthias; Peralta, Miguel; Ihle, Andreas</t>
  </si>
  <si>
    <t>Bidirectional Association between Physical Activity and Dopamine Across Adulthood-A Systematic Review</t>
  </si>
  <si>
    <t>BRAIN SCIENCES</t>
  </si>
  <si>
    <t>Physical activity (PA) may influence the secretion of neurotransmitters and thereby have positive consequences for an individual's vulnerability (i.e., reducing anxiety and depressive symptoms). This systematic review aims to analyse the potential bidirectional effects of exercise on dopamine from young adulthood to old age. The article search was conducted in PubMed, Scopus, and Web of Science in December 2020. The inclusion criteria were longitudinal and experimental study design; outcomes included dopamine and exercise; effect of exercise on dopamine and vice versa; adults; and articles published in English, Portuguese, or Spanish. Fifteen articles were included in the review. We observed robust findings concerning the potential effects of PA on dopamine, which notably seem to be observable across a wide range of participants characteristics (including age and sex), a variety of PA characteristics, and a broad set of methods to analyse dopamine. By contrast, regarding the potential effects of dopamine on PA, findings were mixed across studies. Thus, there are robust effects of physical exercise on dopamine. These findings further strengthen the idea that innovative approaches could include PA interventions for treating and preventing mental disorders. Therefore, it seems that PA is a potential alternative to deal with mental health issues.</t>
  </si>
  <si>
    <t>Ferrari, Gerson/ABG-6635-2021; Marconcin, Priscila/GRO-2708-2022; Peralta, Miguel/H-1666-2017; Ferrari, Gerson/P-1152-2014; Werneck, Andre/N-5006-2016; Marques, Adilson/K-4529-2014; Gouveia, Elvio Rubio/F-9156-2015</t>
  </si>
  <si>
    <t>Peralta, Miguel/0000-0001-6072-6012; Ferrari, Gerson/0000-0003-3177-6576; Kliegel, Matthias/0000-0002-2001-2522; Werneck, Andre/0000-0002-9166-4376; Marques, Adilson/0000-0001-9850-7771; Marconcin, Priscila/0000-0002-1295-0826; Gouveia, Elvio Rubio/0000-0003-0927-692X; Ihle, Andreas/0000-0001-9845-5190</t>
  </si>
  <si>
    <t>2076-3425</t>
  </si>
  <si>
    <t>10.3390/brainsci11070829</t>
  </si>
  <si>
    <t>WOS:000676217000001</t>
  </si>
  <si>
    <t>Raju, S; Arulpandian, V; Avudaiappan, S; Amran, M; Fediuk, R; Vatin, N; Flores, ES; Mosaberpanah, MA</t>
  </si>
  <si>
    <t>Raju, Sumathy; Arulpandian, V.; Avudaiappan, Siva; Amran, Mugahed; Fediuk, Roman; Vatin, Nikolai; Flores, Erick Saavedra; Mosaberpanah, Mohammad Ali</t>
  </si>
  <si>
    <t>Influence of aspect ratio on flexural behavior of reinforced self-compacting concrete beams</t>
  </si>
  <si>
    <t>Concrete is a quasi-brittle material whose basic mechanical properties are size-dependent. Due to simple substitution in profoundly congested support structures without experiencing any consolidation, non-segregation property, and smooth finishing, it could be an exceptionally great choice in the concrete industry. The research object is the size effect on the flexural behavior of reinforced self-compacting concrete (SCC) beams by varying depth, length, and span. The length to depth ratio (aspect ratio) was 3.88, 5.38, 8.75, 11.5, and 15.38. SCC trial mixes were tech-nologically advanced using FA (FA) as filler material and conplast SP430 as Super-plasticizer (SP). The workability properties were determined via the T50 cm slump flow, slump flow, U-box, V -funnel, J-ring, and L-box tests. FA (30%) with SP (1.9%) is satisfied with all the requirements of SCC as per EFNARC guidelines, and the designed compressive strength of concrete was obtained as 30 MPa. A total of six beams with various sizes, such as depths of 100 mm, 150 mm, and 200 mm, and lengths of 900, 1700, and 2200 mm, were cast with 1.2% tensile reinforcement bars. Based on the depth effect of beams, the load-deflection behavior, flexural strength, ductility index, and stiffness were studied. It is revealed that there is a decrease in strength properties by increasing the depth of beams during the static load conditions. Beams with a length equal to 1700 mm reached the best performance. It was also found the most advantageous l/d proportion, in terms of mechanical performance, is equal to 5.38.</t>
  </si>
  <si>
    <t>Mosaberpanah, Mohammad/D-3114-2013; amran, mugahed/AAW-4821-2020; Avudaiappan, Siva/AAV-7579-2021; Vatin, Nikolai Ivanovich/O-6995-2019; Fediuk, Roman/N-6730-2017</t>
  </si>
  <si>
    <t>Fediuk, Roman/0000-0002-2279-1240; V, Arulpandian/0000-0001-9801-3755</t>
  </si>
  <si>
    <t>e01339</t>
  </si>
  <si>
    <t>10.1016/j.cscm.2022.e01339</t>
  </si>
  <si>
    <t>WOS:000843523600006</t>
  </si>
  <si>
    <t>Arancibia-Miranda, N; Escudey, M; Ramírez, R; González, RI; van Duin, ACT; Kiwi, M</t>
  </si>
  <si>
    <t>Arancibia-Miranda, Nicolas; Escudey, Mauricio; Ramirez, Ricardo; Gonzalez, Rafael I.; van Duin, Adri C. T.; Kiwi, Miguel</t>
  </si>
  <si>
    <t>Advancements in the Synthesis of Building Block Materials: Experimental Evidence and Modeled Interpretations of the Effect of Na and K on Imogolite Synthesis</t>
  </si>
  <si>
    <t>The effects of Na/K substitution during the synthesis of imogolite nanotubes (NTs) were studied using a combination of structural and surface analyses. These were complemented with molecular dynamics (MD) and DFT computational models. Our results provide strong experimental evidence, obtained by various characterization techniques (FT-IR, XRD, IEP, charge measurement, and HR-TEM), showing that K changes the imogolite dimensions. In fact, in the presence of K, the nanotubes become shorter and adopt a larger diameter. Moreover, the presence of the amorphous structures associated with allophane increases, even for low K concentrations. Our results underline the complexity of imogolite synthesis engineering, highlighting their high sensitivity to the chemicals that are used during synthesis.</t>
  </si>
  <si>
    <t>Arancibia-Miranda, Nicolás/I-6743-2013; Kiwi, Miguel/D-3401-2013; ramirez, ricardo/HJA-2728-2022; Gonzalez, Rafael I./I-8560-2015</t>
  </si>
  <si>
    <t>Gonzalez, Rafael I./0000-0003-2599-8404; Arancibia-Miranda, Nicolas/0000-0002-0142-6922</t>
  </si>
  <si>
    <t>10.1021/acs.jpcc.6b12155</t>
  </si>
  <si>
    <t>WOS:000403731700019</t>
  </si>
  <si>
    <t>Heinrich, M; Jalil, B; Abdel-Tawab, M; Echeverria, J; Kulic, Ä; McGaw, LJ; Pezzuto, JM; Potterat, O; Wang, JB</t>
  </si>
  <si>
    <t>Heinrich, Michael; Jalil, Banaz; Abdel-Tawab, Mona; Echeverria, Javier; Kulic, Zarko; McGaw, Lyndy J.; Pezzuto, John M.; Potterat, Olivier; Wang, Jia-Bo</t>
  </si>
  <si>
    <t>ConPhyMP Advisory Grp</t>
  </si>
  <si>
    <t>Best Practice in the chemical characterisation of extracts used in pharmacological and toxicological research-The ConPhyMP-Guidelines</t>
  </si>
  <si>
    <t>Background: Research on medicinal plants and extracts derived from them differs from studies performed with single compounds. Extracts obtained from plants, algae, fungi, lichens or animals pose some unique challenges: they are multicomponent mixtures of active, partially active and inactive substances, and the activity is often not exerted on a single target. Their composition varies depending on the method of preparation and the plant materials used. This complexity and variability impact the reproducibility and interpretation of pharmacological, toxicological and clinical research. Objectives: This project develops best practice guidelines to ensure reproducibility and accurate interpretations of studies using medicinal plant extracts. The focus is on herbal extracts used in pharmacological, toxicological, and clinical/intervention research. Specifically, the consensus-based statement focuses on defining requirements for: 1) Describing the plant material/herbal substances, herbal extracts and herbal medicinal products used in these studies, and 2) Conducting and reporting the phytochemical analysis of the plant extracts used in these studies in a reproducible and transparent way. The process and methods: We developed the guidelines through the following process: 1) The distinction between the three main types of extracts (extract types A, B, and C), initially conceptualised by the lead author (MH), led the development of the project as such; 2) A survey among researchers of medicinal plants to gather global perspectives, opportunities, and overarching challenges faced in characterising medicinal plant extracts under different laboratory infrastructures. The survey responses were central to developing the guidelines and were reviewed by the core group; 3) A core group of 9 experts met monthly to develop the guidelines through a Delphi process; and. 4) The final draft guidelines, endorsed by the core group, were also distributed for feedback and approval to an extended advisory group of 20 experts, including many journal editors. Outcome: The primary outcome is the Consensus statement on the Phytochemical Characterisation of Medicinal Plant extracts  (ConPhyMP) which defines the best practice for reporting the starting plant materials and the chemical methods recommended for defining the chemical compositions of the plant extracts used in such studies. The checklist is intended to be an orientation for authors in medicinal plant research as well as peer reviewers and editors assessing such research for publication.</t>
  </si>
  <si>
    <t>Abdel-Tawab, Apl. Prof. Dr. Mona/GVS-7078-2022; Johnson, Michael/F-5141-2013; McGaw, Lyndy/P-8993-2016; Echeverría, Javier/E-9989-2011; Wang, Jiabo/B-6681-2015</t>
  </si>
  <si>
    <t>Jalil, Banaz/0000-0002-1535-3744; , John/0000-0002-2942-8196; Echeverria, Javier/0000-0002-1688-968X</t>
  </si>
  <si>
    <t>SEP 13</t>
  </si>
  <si>
    <t>10.3389/fphar.2022.953205</t>
  </si>
  <si>
    <t>WOS:000861630000001</t>
  </si>
  <si>
    <t>Marconcin, P; Kovalskys, I; Gómez, G; Rigotti, A; Cortés, LY; García, MY; Liria-Domínguez, MR; Herrera-Cuenca, M; Fisberg, M; Marques, A; Ferrari, G</t>
  </si>
  <si>
    <t>Marconcin, Priscila; Kovalskys, Irina; Gomez, Georgina; Rigotti, Attilio; Yadira Cortes, Lilia; Yepez Garcia, Martha; Liria-Dominguez, Maria Reyna; Herrera-Cuenca, Marianella; Fisberg, Mauro; Marques, Adilson; Ferrari, Gerson</t>
  </si>
  <si>
    <t>Walking And Cycling As Active Transportation And Obesity Factors In Adolescents From Eight Countries</t>
  </si>
  <si>
    <t>MEDICINE &amp; SCIENCE IN SPORTS &amp; EXERCISE</t>
  </si>
  <si>
    <t>Marconcin, Priscila/GRO-2708-2022; Ferrari, Gerson/HHM-6173-2022; Cortes, Lilia/AAF-2960-2019; Liria, Reyna/CAA-0410-2022; Gomez, Georgina/AAR-7272-2020; Ferrari, Gerson/P-1152-2014; Marques, Adilson/K-4529-2014</t>
  </si>
  <si>
    <t>Ferrari, Gerson/0000-0003-3177-6576; Marques, Adilson/0000-0001-9850-7771</t>
  </si>
  <si>
    <t>0195-9131</t>
  </si>
  <si>
    <t>1530-0315</t>
  </si>
  <si>
    <t>WOS:000888056602074</t>
  </si>
  <si>
    <t>Cárdenas, M; Barrientos, J; Meyer, I; Gómez, F; Guzmán, M; Bahamondes, J</t>
  </si>
  <si>
    <t>Cardenas, Manuel; Barrientos, Jaime; Meyer, Ilan; Gomez, Fabiola; Guzman, Monica; Bahamondes, Joaquin</t>
  </si>
  <si>
    <t>Direct and Indirect Effects of Perceived Stigma on Posttraumatic Growth in Gay Men and Lesbian Women in Chile</t>
  </si>
  <si>
    <t>JOURNAL OF TRAUMATIC STRESS</t>
  </si>
  <si>
    <t>This study examined the direct and indirect effects of perceived stigma on posttraumatic growth (PTG) in a sample of gay men and lesbian women in Chile, with coping strategies (positive reappraisal, social support seeking, and active coping strategies) as intermediate variables. Data from 467 gay men (57.4%) and lesbian women (42.6%) were analyzed. A respondent-driven sampling (RDS) method was used. The hierarchical regression analysis indicated the important predictive role of active coping, = .23, and positive reappraisal, = .45, in PTG, R-2 = .31, p &lt; .001, f2 = 0.16. Results revealed that, in the presence of positive reappraisal coping as an intermediate variable, partial indirect effects are detected between perceived stigma and PTG. Seeking instrumental social support did not produce indirect effects between perceived stigma and PTG, whereas active coping produced partial indirect effects. These findings suggest that the positive reappraisal of a traumatic experience is essential for reporting personal growth. Implications of these more complex relations for counseling interventions and further research are discussed.</t>
  </si>
  <si>
    <t>Bahamondes, Joaquín/AAG-2990-2019; Gómez, Fabiola/W-3604-2018; Guzman, Monica/A-4402-2012; Meyer, Ilan/A-2142-2009; Barrientos, Jaime/GMW-8081-2022</t>
  </si>
  <si>
    <t>Bahamondes, Joaquin/0000-0002-3777-8233; Barrientos, Jaime/0000-0001-8497-3552; Gomez, Fabiola/0000-0002-8390-9476; Guzman-Gonzalez, Monica/0000-0002-3461-0451; Sanchez Rivera, Mayra Martina/0009-0002-0828-9200</t>
  </si>
  <si>
    <t>0894-9867</t>
  </si>
  <si>
    <t>1573-6598</t>
  </si>
  <si>
    <t>10.1002/jts.22256</t>
  </si>
  <si>
    <t>WOS:000426789700001</t>
  </si>
  <si>
    <t>Lühr, S; Vilches-Herrera, M; Fierro, A; Ramsay, RR; Edmondson, DE; Reyes-Parada, M; Cassels, BK; Iturriaga-Vásquez, P</t>
  </si>
  <si>
    <t>Luehr, Susan; Vilches-Herrera, Marcelo; Fierro, Angelica; Ramsay, Rona R.; Edmondson, Dale E.; Reyes-Parada, Miguel; Cassels, Bruce K.; Iturriaga-Vasquez, Patricio</t>
  </si>
  <si>
    <t>2-Arylthiomorpholine derivatives as potent and selective monoamine oxidase B inhibitors</t>
  </si>
  <si>
    <t>BIOORGANIC &amp; MEDICINAL CHEMISTRY</t>
  </si>
  <si>
    <t>2-Arylthiomorpholine and 2-arylthiomorpholin-5-one derivatives, designed as rigid and/or non-basic phenylethylamine analogues, were evaluated as rat and human monoamine oxidase inhibitors. Molecular docking provided insight into the binding mode of these inhibitors and rationalized their different potencies. Making the phenylethylamine scaffold rigid by. xing the amine chain in an extended six-membered ring conformation increased MAO-B (but not MAO-A) inhibitory activity relative to the more flexible alpha-methylated derivative. The presence of a basic nitrogen atom is not a prerequisite in either MAO-A or MAO-B. The best K-i values were in the 10(8) M range, with selectivities towards human MAO-B exceeding 2000-fold. (C) 2010 Elsevier Ltd. All rights reserved.</t>
  </si>
  <si>
    <t>Herrera, Luis/M-2750-2015; Cassels, Bruce/H-6937-2013; Ramsay, Rona R./A-6681-2008</t>
  </si>
  <si>
    <t>Fierro Huerta, Angelica/0000-0002-6507-4188; Luhr, Susan/0000-0003-0449-0601; Vilches Herrera, Marcelo/0000-0001-8282-8650; Ramsay, Rona R./0000-0003-1535-4904</t>
  </si>
  <si>
    <t>0968-0896</t>
  </si>
  <si>
    <t>1464-3391</t>
  </si>
  <si>
    <t>10.1016/j.bmc.2010.01.029</t>
  </si>
  <si>
    <t>WOS:000274425500002</t>
  </si>
  <si>
    <t>Pitcheri, R; Mooni, SP; Sridhar, V; Radhalayam, D; Maaouni, N; Roy, S; Al-Zahrani, FAM; Kummara, MR</t>
  </si>
  <si>
    <t>Pitcheri, Rosaiah; Mooni, Siva Prasad; Sridhar, Vuba; Radhalayam, Dhanalakshmi; Maaouni, N.; Roy, Soumyendu; Al-Zahrani, Fatimah Ali M.; Kummara, Madhusudana Rao</t>
  </si>
  <si>
    <t>Ultra-small one-dimensional rice-like CoMoO4 nanorods as a promising pseudocapacitive electrode for high-performance supercapacitors</t>
  </si>
  <si>
    <t>MATERIALS SCIENCE IN SEMICONDUCTOR PROCESSING</t>
  </si>
  <si>
    <t>The demand for sustainable energy sources increases as society progresses. Supercapacitors possess a long lifespan, have a high power density, are ecologically sound, and have the ability to rapidly charge and discharge. Among the several binary transition metal oxides (BTMOs), metal molybdates (AMoO(4)) are notable for their significant redox activity, widespread availability, affordability, and small ecological footprint. The exceptional theoretical capacitance of CoMoO4, resulting from the presence of active cobalt ions, distinguishes it from other materials. However, the synthesis of CoMoO4 in nanostructured forms presents a challenge. This study introduces a straightforward one-pot solvothermal technique for producing ultra-small, one-dimensional (1D) rice-like CoMoO4 nanorods. The electrochemical performance of rice-like CoMoO4 nanorods as a supercapacitor electrode material was thoroughly investigated, along with larger CoMoO4 nanorods made using the hydrothermal process for comparison. The structural, morphological, and surface characteristics of the rice-like CoMoO4 nanorods were comprehensively examined. The nanorods, formed like rice grains, exhibited exceptional ability to store electric charge, with an outstanding specific capacitance of 1608.8 F g(-1). They demonstrated remarkable cycling stability, retaining 96 % of their capacitance after numerous charge and discharge cycles, indicating their durability and reliability. The nanorods also exhibited a high rate capability of 71 %, which is crucial for applications that demand quick energy delivery. This capability enables the nanorods to maintain considerable capacitance even at higher charge-discharge rates. The results indicate that rice-like CoMoO4 nanorods can be used as a material in supercapacitors.</t>
  </si>
  <si>
    <t>Roy, Soumyendu/N-4586-2014; Rosaiah/B-4028-2014; Rao, Kummara/B-4986-2012; Alzahrani, Fatimah/AAX-7912-2020; MOONI, SIVA/ABI-5261-2020; Sridhar, Vuba/HHS-5292-2022</t>
  </si>
  <si>
    <t>MOONI, SIVA PRASAD/0000-0001-5454-8299; /0000-0002-5350-9981</t>
  </si>
  <si>
    <t>1369-8001</t>
  </si>
  <si>
    <t>1873-4081</t>
  </si>
  <si>
    <t>10.1016/j.mssp.2024.108865</t>
  </si>
  <si>
    <t>WOS:001312703200001</t>
  </si>
  <si>
    <t>Periyaiah, I; Kumar, MP; Kumaresan, N; Mangalaraja, RV; Diaz, FVH; Sahlevani, SF; Sasikala, S; Murugadoss, G; Perumal, I; Sasikumar, M</t>
  </si>
  <si>
    <t>Periyaiah, Ilaiyaraja; Kumar, M. Praveen; Kumaresan, Natesan; Mangalaraja, R. V.; Diaz, Francisco V. Herrera; Sahlevani, Saeed Farhang; Sasikala, S.; Murugadoss, G.; Perumal, Ilaiyaraja; Sasikumar, Moorthy</t>
  </si>
  <si>
    <t>Facile synthesis of Co-Cu metal organic framework as efficient non-noble bifunctional electrocatalysts for overall water splitting</t>
  </si>
  <si>
    <t>APPLIED SURFACE SCIENCE ADVANCES</t>
  </si>
  <si>
    <t>The rapid development of superior, highly stable, alkaline-medium-compatible, and nonprecious earth-abundant bifunctional electrocatalysts has garnered significant research interest. This interest aims to replace the costliest noble metals (Pt, Ir/IrO 2 , and Ru/RuO 2 ) in renewable and green energy technologies for overall water splitting. However, there are still important limitations, such as lower stability and higher energy consumption. In this work, we report the synthesis of Cu -Co metal-organic frameworks (MOFs) as a bifunctional electrocatalyst using a simple chemical precipitation technique. Especially, when 11.5 mM of Co is combined with Cu MOF, it exhibits excellent bifunctional activity for overall water splitting with a lower overpotential of 0.21 V (OER) and -0.71 V (HER) at a current density of 10 mA cm -2 , which exhibits nearly several times more enhancement than that of pristine Cu and Co MOFs in a 1 M KOH electrolyte solution. The Tafel slope value of 130 mV/dec and the lower charge transfer resistance, along with relatively high stability for up to 12 h at the onset potential of OER and HER, are observed for the 11.5 mM Cu -Co MOF electrocatalyst. The present results open an alternative pathway for developing a novel design of highly efficient and scalable bifunctional electrocatalysts for overall water splitting.</t>
  </si>
  <si>
    <t>perumal, ilaiyaraja/ABI-6184-2020; Viswanathan, Mangalaraja/AAM-6090-2020; Murugadoss, G/HQZ-8452-2023; Ramalinga Viswanathan, Mangalaraja/JOZ-3129-2023</t>
  </si>
  <si>
    <t>Herrera, Francisco/0000-0001-7783-2970; , M. Sasikumar/0000-0003-3191-9450; Ramalinga Viswanathan, Mangalaraja/0000-0003-1016-9830; Murugadoss, Govindhasamy/0000-0002-0972-2726</t>
  </si>
  <si>
    <t>2666-5239</t>
  </si>
  <si>
    <t>10.1016/j.apsadv.2024.100593</t>
  </si>
  <si>
    <t>WOS:001223309500001</t>
  </si>
  <si>
    <t>Fatma, I; Sharma, V; Malik, NA; Assad, H; Cantero-Lopez, P; Sanchez, J; Lopez-Rendon, R; Yanez, O; Thakur, RC; Kumar, A</t>
  </si>
  <si>
    <t>Fatma, Ishrat; Sharma, Vivek; Malik, Nisar Ahmad; Assad, Humira; Cantero-Lopez, Plinio; Sanchez, Julio; Lopez-Rendon, Roberto; Yanez, Osvaldo; Thakur, Ramesh Chand; Kumar, Ashish</t>
  </si>
  <si>
    <t>Influence of HSA on micellization of NLSS and BC: An experimental- theoretical approach of its binding characteristics</t>
  </si>
  <si>
    <t>JOURNAL OF MOLECULAR LIQUIDS</t>
  </si>
  <si>
    <t>Blood albumins play a very significant role in several biological operations and act as carriers for the transportation and circulation of various endogenous as well as exogenous materials. Experimental as well as computational studies have been carried out in understanding the major binding properties of the system. This investigation explains the interactions of Human serum albumin (HSA) with N-Lauroyl sarcosine sodium salt (NLSS) and benzethonium chloride (BC), which has been explored by means of conductometric, spectroscopic as well as computational studies. Phenomenon of micellization is hindered in several concentrations of protein (HSA) as well as by temperature. Binding ability of HSA with NLSS and BC has been obtained through UV-visible and fluorescence studies. Computational study revealed the presence of seven binding pockets in HSA, out of which the most stable binding pockets for NLSS and BC includes pocket1 and pocket2.(c) 2022 Elsevier B.V. All rights reserved.</t>
  </si>
  <si>
    <t>Osorio, Edison/L-7964-2015; López-Rendón, Roberto/D-4349-2016; Malik, Nisar/J-9954-2012; Sanchez, Julio/AEO-4360-2022; kumar, Ashish/V-7918-2019</t>
  </si>
  <si>
    <t>kumar, Ashish/0000-0002-2003-6209; Assad, Humira/0000-0002-6573-4676; Sharma, Vivek/0000-0001-9462-9480</t>
  </si>
  <si>
    <t>0167-7322</t>
  </si>
  <si>
    <t>1873-3166</t>
  </si>
  <si>
    <t>10.1016/j.molliq.2022.120532</t>
  </si>
  <si>
    <t>OCT 2022</t>
  </si>
  <si>
    <t>WOS:000869467100006</t>
  </si>
  <si>
    <t>Martínez, V; Rojas, G; Martínez, P; Zitko, P; Irarrázaval, M; Luttges, C; Araya, R</t>
  </si>
  <si>
    <t>Martinez, Vania; Rojas, Graciela; Martinez, Pablo; Zitko, Pedro; Irarrazaval, Matias; Luttges, Carolina; Araya, Ricardo</t>
  </si>
  <si>
    <t>Remote Collaborative Depression Care Program for Adolescents in Araucania Region, Chile: Randomized Controlled Trial</t>
  </si>
  <si>
    <t>JOURNAL OF MEDICAL INTERNET RESEARCH</t>
  </si>
  <si>
    <t>Background: Despite evidence on efficacious interventions, a great proportion of depressed adolescents do not receive evidence-based treatment and have no access to specialized mental health care. Remote collaborative depression care (RCDC) may help to reduce the gap between needs and specialized mental health services. Objective: The objective of this study was to assess the feasibility, acceptability, and effectiveness of an RCDC intervention for adolescents with major depressive disorder (MDD) living in the Araucania Region, Chile. Methods: A cluster randomized, assessor-blind trial was carried out at 16 primary care centers in the Araucania Region, Chile. Before randomization, all participating primary care teams were trained in clinical guidelines for the treatment of adolescent depression. Adolescents (N=143; 13-19 years) with MDD were recruited. The intervention group (RCDC, N=65) received a 3-month RCDC treatment that included continuous remote supervision by psychiatrists located in Santiago, Chile's capital city, through shared electronic health records (SEHR) and phone patient monitoring. The control group (enhanced usual care or EUC; N=78) received EUC by clinicians who were encouraged to follow clinical guidelines. Recruitment and response rates and the use of the SEHR system were registered; patient adherence and satisfaction with the treatment and clinician satisfaction with RCDC were assessed at 12-week follow-up; and depressive symptoms and health-related quality of life (HRQoL) were evaluated at baseline and 12-weeks follow-up. Results: More than 60.3% (143/237) of the original estimated sample size was recruited, and a response rate of 90.9% (130/143) was achieved at 12-week follow-up. A mean (SD) of 3.5 (4.0) messages per patient were written on the SEHR system by primary care teams. A third of the patients showed an optimal adherence to psychopharmacological treatment, and adolescents in the RCDC intervention group were more satisfied with psychological assistance than those in EUC group. Primary care clinicians were satisfied with the RCDC intervention, valuing its usefulness. There were no significant differences in depressive symptoms or HRQoL between groups. Satisfaction with psychological care, in both groups, was related to a significant change in depressive symptomatology at 12-weeks follow-up (beta=-4.3, 95% CI -7.2 to -1.3). Conclusions: This is the first trial of its kind in Latin America that includes adolescents from vulnerable backgrounds, with an intervention that proved to be feasible and well accepted by both patients and primary care clinicians. Design and implementation issues may explain similar effectiveness across arms. The effectiveness of the intervention seems to be comparable with an already nationwide established treatment program that proved to be highly efficacious under controlled conditions.</t>
  </si>
  <si>
    <t>Martínez, Pablo/LZF-5853-2025; martinez, vania/HTR-5513-2023; Araya, Ricardo/S-3144-2019; Irarrazaval, Matias/H-6488-2017; Martinez, Vania/LBT-7587-2024</t>
  </si>
  <si>
    <t>rojas, maria graciela/0000-0002-9577-7415; Martinez, Vania/0000-0001-5980-7122; Irarrazaval, Matias/0000-0002-9087-8305; Zitko, Pedro/0000-0003-1162-4591; Martinez, Pablo/0000-0003-4482-7993; Araya, Ricardo/0000-0002-0420-5148</t>
  </si>
  <si>
    <t>1438-8871</t>
  </si>
  <si>
    <t>e38</t>
  </si>
  <si>
    <t>10.2196/jmir.8021</t>
  </si>
  <si>
    <t>WOS:000423879400002</t>
  </si>
  <si>
    <t>Nascimento, MD; Marques, A; Ferrari, G; Gouveia, ER; Ihle, A</t>
  </si>
  <si>
    <t>Nascimento, Marcelo de Maio; Marques, Adilson; Ferrari, Gerson; Gouveia, elvio Rubio; Ihle, Andreas</t>
  </si>
  <si>
    <t>The Mediating Role of Physical Activity and Self-Rated Health in the Association Between Depression and Quality of Life in Older Europeans: An Analysis Differentiated by Sex</t>
  </si>
  <si>
    <t>Objectives: This study investigates the mediating role of moderate physical activity (MPA), vigorous physical activity (VPA), and self-rated health (SRH) in the association between depression and quality of life (QoL) in a large sample of Europeans aged 50 and over, differentiated by sex. Methods: Data from the 2017 Survey of Health, Ageing and Retirement in Europe were analyzed, including 11,986 individuals (6843 women) aged 50 and older. All information was collected through face-to-face interviews: sociodemographic data, SRH, physical activity levels, depression (EURO-D scale), and QoL (CASP-12). Results: Comparatively, women reported a higher prevalence of depression, a lower perception of QoL, and slightly lower levels of SRH, MPA, and VPA. Parallel mediation models revealed, for both sexes, that an increase in VPA levels was more effective in benefiting SRH; and MPA proved to be a better promoter of QoL. When comparing sexes, only the path depression -&gt; VPA -&gt; QoL showed a significant difference (p &lt; 0.001). Conclusions: These results provide valuable insights for developing physical activity interventions capable of improving mental health and promoting QoL in older European adults.</t>
  </si>
  <si>
    <t>Ferrari, Gerson/HHM-6173-2022; Marques, Adilson/K-4529-2014; Ferrari, Gerson/P-1152-2014; Gouveia, Elvio Rubio/F-9156-2015</t>
  </si>
  <si>
    <t>Marques, Adilson/0000-0001-9850-7771; Ihle, Andreas/0000-0001-9845-5190; Ferrari, Gerson/0000-0003-3177-6576; de Maio Nascimento, Marcelo/0000-0002-3577-3439; Gouveia, Elvio Rubio/0000-0003-0927-692X</t>
  </si>
  <si>
    <t>10.3390/jcm13226760</t>
  </si>
  <si>
    <t>WOS:001366312600001</t>
  </si>
  <si>
    <t>Hermosilla-Palma, F; Villaseca-Vicuña, R; Merino-Muñoz, P; Gómez-Alvarez, N; Pérez-Contreras, J; Salas-Avila, M; Cerda-Kohler, H; Portes-Junior, M; Aedo-Muñoz, E</t>
  </si>
  <si>
    <t>Hermosilla-Palma, Felipe; Villaseca-Vicuna, Rodrigo; Merino-Munoz, Pablo; Gomez-Alvarez, Nicolas; Perez-Contreras, Jorge; Salas-Avila, Miguel; Cerda-Kohler, Hugo; Portes-Junior, Moacyr; Aedo-Munoz, Esteban</t>
  </si>
  <si>
    <t>Differences in 30-15 IFT test performance across playing positions and categories among adult professional soccer players</t>
  </si>
  <si>
    <t>Objective: This study aims to assess the performance of professional soccer teams from different divisions and playing positions using the 30-15 intermittent fitness test (30-15 IFT). Methods: The sample comprised 84 male soccer players from first division teams A (1A) (n=21; mean age 23.5 +/- 5.2 years), first division B (1B) (n=42; mean age 23.0 +/- 5.0), and second professional division (2nd) (n=21; mean age 22.9 +/- 4.7 years). Performance was evaluated based on the final speed achieved in the 30-15 IFT (VIFT). Results: Significant differences were observed between 1A and both 1B and 2nd in VIFT (p=0.002, n2p=0.115). Additionally, differences were found between defenders and full-backs in VIFT (p=0.002, n2p=0.197). Conclusion: Performance in the 30-15 IFT varies across divisions, with 1A achieving the highest values. Moreover, full-backs demonstrated superior performance compared to defenders. These findings provide valuable insights for coaches, physical trainers, and sports scientists for optimizing training programs.</t>
  </si>
  <si>
    <t>Aedo-Muñoz, Esteban/R-5623-2019; Villaseca-Vicuña, Rodrigo/JVE-2197-2024; Gómez-Álvarez, Nicolas/IQV-1742-2023; Merino Muñoz, Pablo/JGL-6690-2023</t>
  </si>
  <si>
    <t>WOS:001335697100001</t>
  </si>
  <si>
    <t>Watkins, CD; Bovet, J; Fernandez, AM; Leongómez, JD; Zelazniewicz, A; Varella, MAC; Wagstaff, D</t>
  </si>
  <si>
    <t>Watkins, Christopher D.; Bovet, Jeanne; Fernandez, Ana Maria; Leongomez, Juan David; Zelazniewicz, Agnieszka; Correa Varella, Marco Antonio; Wagstaff, Danielle</t>
  </si>
  <si>
    <t>Men say I love you before women do: Robust across several countries</t>
  </si>
  <si>
    <t>JOURNAL OF SOCIAL AND PERSONAL RELATIONSHIPS</t>
  </si>
  <si>
    <t>Feeling and expressing love is at the core of romantic relationships, but individuals differ in their proclivity to worry about their relationships and/or avoid intimacy. Saying I love you signals a commitment to a future with our romantic partner. Contrary to gender stereotypes, research in the United States demonstrates that men are more likely to confess love first. We aimed to replicate this sex difference in an online cross-national sample (seven countries, three continents), while testing for variation according to attachment style and environment (the national sex ratio). Men were more likely to confess love first in a relationship, with preliminary evidence that this was more likely when men had more choice (more female-biased sex ratio). Independent of biological sex, highly avoidant respondents were less happy to hear I love you than less avoidant respondents, and highly anxious respondents were happier to hear I love you than less anxious respondents. Our findings suggest that prior observations generalize beyond an ethnically homogenous sample and incorporate attachment theory into the study of love confessions. Our research suggests a dissociation between initial declarations of love (moderated by biological sex) and emotional responses to love confessions, moderated by attachment style but not by biological sex.</t>
  </si>
  <si>
    <t>Leongómez, Juan David/D-2885-2011; Wagstaff, Danielle/L-2666-2019; Bovet, Jeanne/I-8527-2019; Fernandez, Ana Maria/E-6429-2011; Varella, Marco/S-5492-2016; Watkins, Christopher/G-5086-2011</t>
  </si>
  <si>
    <t>Fernandez, Ana Maria/0000-0003-4132-5891; Bovet, Jeanne/0000-0002-3997-8837; Wagstaff, Danielle/0000-0002-5117-0056; Varella, Marco/0000-0002-7274-7360; Watkins, Christopher/0000-0002-1207-6331; Leongomez, Juan David/0000-0002-0092-6298</t>
  </si>
  <si>
    <t>0265-4075</t>
  </si>
  <si>
    <t>1460-3608</t>
  </si>
  <si>
    <t>10.1177/02654075221075264</t>
  </si>
  <si>
    <t>WOS:000759433700001</t>
  </si>
  <si>
    <t>CybergeoNet</t>
  </si>
  <si>
    <t>Created in 1996, Cybergeo, European Journal of Geography is native digital journal which was conceived from the start for publication in all European languages. In order to better promote its authors' articles internationally, it is undertaking actions to improve and translate its metadata into English, Spanish and Chinese. CybergeoNet is a laureate of the AAP Scientific Translations launched in 2019 by the Ministry of Higher Education, Research and Innovation (MESRI) in France. It has developed an efficient, and quality, collaborative translation method that is transferable to other scientific journals published and managed by research laboratories. The aim is to ensure that authors and editorial teams become more competent in translation. A guide of good practices is proposed to the community. The impact of linguistic improvements made to the journal's metadata is also measured with the consultation statistics provided by the OpenEdition platform. All documents are freely available online.</t>
  </si>
  <si>
    <t>WOS:000899682200008</t>
  </si>
  <si>
    <t>Silva, N; Riveros, A; Yutronic, N; Lang, E; Chornik, B; Guerrero, S; Samitier, J; Jara, P; Kogan, MJ</t>
  </si>
  <si>
    <t>Silva, Nataly; Riveros, Ana; Yutronic, Nicolas; Lang, Erika; Chornik, Boris; Guerrero, Simon; Samitier, Josep; Jara, Paul; Kogan, Marcelo J.</t>
  </si>
  <si>
    <t>Photothermally Controlled Methotrexate Release System Using β-Cyclodextrin and Gold Nanoparticles</t>
  </si>
  <si>
    <t>The inclusion compound (IC) of cyclodextrin (CD) containing the antitumor drug Methotrexate (MTX) as a guest molecule was obtained to increase the solubility of MTX and decrease its inherent toxic effects in nonspecific cells. The IC was conjugated with gold nanoparticles (AuNPs), obtained by a chemical method, creating a ternary intelligent delivery system for MTX molecules, based on the plasmonic properties of the AuNPs. Irradiation of the ternary system, with a laser wavelength tunable with the corresponding surface plasmon of AuNPs, causes local energy dissipation, producing the controlled release of the guest from CD cavities. Finally, cell viability was evaluated using MTS assays for beta-CD/MTX and AuNPs + beta-CD/MTX samples, with and without irradiation, against HeLa tumor cells. The irradiated sample of the ternary system AuNPs + beta-CD/MTX produced a diminution in cell viability attributed to the photothermal release of MTX.</t>
  </si>
  <si>
    <t>Jara, Paul/ADD-5252-2022; Chornik, Boris/I-9192-2016; kogan, Marcelo/I-2868-2013; Guerrero, Simon/GPF-5832-2022; riveros, ana/AAD-2134-2020</t>
  </si>
  <si>
    <t>Guerrero, Simon/0000-0002-3003-0337; Silva, Nataly/0000-0002-1830-5182</t>
  </si>
  <si>
    <t>10.3390/nano8120985</t>
  </si>
  <si>
    <t>WOS:000455323100023</t>
  </si>
  <si>
    <t>Salinas, F; Cubillos, FA; Soto, D; Garcia, V; Bergström, A; Warringer, J; Ganga, MA; Louis, EJ; Liti, G; Martinez, C</t>
  </si>
  <si>
    <t>Salinas, Francisco; Cubillos, Francisco A.; Soto, Daniela; Garcia, Veronica; Bergstroem, Anders; Warringer, Jonas; Ganga, M. Angelica; Louis, Edward J.; Liti, Gianni; Martinez, Claudio</t>
  </si>
  <si>
    <t>The Genetic Basis of Natural Variation in Oenological Traits in Saccharomyces cerevisiae</t>
  </si>
  <si>
    <t>Saccharomyces cerevisiae is the main microorganism responsible for wine alcoholic fermentation. The oenological phenotypes resulting from fermentation, such as the production of acetic acid, glycerol, and residual sugar concentration are regulated by multiple genes and vary quantitatively between different strain backgrounds. With the aim of identifying the quantitative trait loci (QTLs) that regulate oenological phenotypes, we performed linkage analysis using three crosses between highly diverged S. cerevisiae strains. Segregants from each cross were used as starter cultures for 20-day fermentations, in synthetic wine must, to simulate actual winemaking conditions. Linkage analysis on phenotypes of primary industrial importance resulted in the mapping of 18 QTLs. We tested 18 candidate genes, by reciprocal hemizygosity, for their contribution to the observed phenotypic variation, and validated five genes and the chromosome II right subtelomeric region. We observed that genes involved in mitochondrial metabolism, sugar transport, nitrogen metabolism, and the uncharacterized ORF YJR030W explained most of the phenotypic variation in oenological traits. Furthermore, we experimentally validated an exceptionally strong epistatic interaction resulting in high level of succinic acid between the Sake FLX1 allele and the Wine/European MDH2 allele. Overall, our work demonstrates the complex genetic basis underlying wine traits, including natural allelic variation, antagonistic linked QTLs and complex epistatic interactions between alleles from strains with different evolutionary histories.</t>
  </si>
  <si>
    <t>Martinez, Claudio/MGS-9961-2025; Cubillos, Francisco/MIT-2389-2025; Liti, Gianni/I-9929-2014; Ganga, Maria/S-8176-2019; Soto Madrid, Daniela Paz/GSD-5684-2022; García, Verónica/AAM-1175-2021; Louis, Edward/B-7920-2008; Warringer, Jonas/B-8520-2013; Salinas, Francisco/W-3269-2017; Cubillos, Francisco/G-5195-2019</t>
  </si>
  <si>
    <t>Bergstrom, Anders/0000-0002-4096-9268; Louis, Edward/0000-0003-1157-3608; Martinez, Claudio/0000-0001-8564-9287; garcia, veronica/0000-0002-5312-925X; Liti, Gianni/0000-0002-2318-0775; Soto Madrid, Daniela/0000-0002-4701-5678; Warringer, Jonas/0000-0001-6144-2740; Salinas, Francisco/0000-0002-8391-8145; Cubillos, Francisco/0000-0003-3022-469X</t>
  </si>
  <si>
    <t>e49640</t>
  </si>
  <si>
    <t>10.1371/journal.pone.0049640</t>
  </si>
  <si>
    <t>WOS:000311821000073</t>
  </si>
  <si>
    <t>Rojas, A; Sajadian, SA; López-de-Dicastillo, C; Ardestani, NS; Aguila, G; Jouyban, A</t>
  </si>
  <si>
    <t>Rojas, Adrian; Sajadian, Seyed Ali; Lopez-de-Dicastillo, Carol; Ardestani, Nedasadat Saadati; Aguila, Gonzalo; Jouyban, Abolghasem</t>
  </si>
  <si>
    <t>Improving and measuring the solubility of favipiravir and montelukast in SC-CO2 with ethanol projecting their nanonization</t>
  </si>
  <si>
    <t>Supercritical carbon dioxide (SC-CO2)-based approaches have become more popular in recent years as alternative methods for creating micro- or nanosized medicines. Particularly, high drug solubility is required in those techniques using SC-CO2 as a solvent. During the most recent pandemic years, favipiravir and montelukast were two of the most often prescribed medications for the treatment of COVID-19. In this study, ethanol at 1 and 3 mol% was utilized as a cosolvent to increase the solubility of both medicines in SC-CO2 by a static approach using a range of temperatures (308 to 338 K) and pressure (12 to 30 MPa) values. The experimentally determined solubilities of favipiravir and montelukast in SC-CO2 + 3 mol% ethanol showed solubility values up to 33.3 and 24.5 times higher than that obtained for these drugs with only SC-CO2. The highest values were achieved in the pressure of 12 MPa and temperature of 338 K. Last but not least, six density-based semi-empirical models with various adjustable parameters were used to perform the modeling of the solubility of favipiravir and montelukast.</t>
  </si>
  <si>
    <t>Jouyban, Abolghasem/ABB-7335-2020; Rojas, Adrián/AAR-9441-2021; Aguila, Gonzalo/M-6404-2019; Sajadian, Seyedali/HJP-8942-2023; Lopez-de-Dicastillo, Carol/C-6347-2019</t>
  </si>
  <si>
    <t>Aguila, Gonzalo/0000-0003-3441-4175; Lopez-de-Dicastillo, Carol/0000-0003-0067-9765; sajadian, seyed ali/0000-0002-8942-0559; Saadati Ardestani, Nedasadat/0000-0002-4356-125X</t>
  </si>
  <si>
    <t>10.1039/d3ra05484e</t>
  </si>
  <si>
    <t>WOS:001108201200001</t>
  </si>
  <si>
    <t>Rezende, LFM; Lee, DH; Ferrari, G; Eluf-Neto, J; Giovannucci, EL</t>
  </si>
  <si>
    <t>Rezende, Leandro F. M.; Lee, Dong Hoon; Ferrari, Gerson; Eluf-Neto, Jose; Giovannucci, Edward L.</t>
  </si>
  <si>
    <t>Physical activity for cancer patients during COVID-19 pandemic: a call to action</t>
  </si>
  <si>
    <t>CANCER CAUSES &amp; CONTROL</t>
  </si>
  <si>
    <t>Self-isolation is strongly recommended for cancer patients during the COVID-19 pandemic, but may lead to physical inactivity and prolonged sitting time. The benefits of physical activity for cancer patients are manifold, such as reduced anxiety, fewer depressive symptoms, less fatigue, better quality of life, and improved physical function. In the last decade, several oncology-related organizations have provided guidance and summarized the evidence on the role of physical activity for cancer survivors. In this comment, we provide a brief summary of these recommendations and benefits of physical activity for cancer patients; and we recommend that oncologists and health practitioners should promote an active lifestyle for these patients during the pandemic and thereafter. Suggestions for implementing these actions in the clinical settings are also provided.</t>
  </si>
  <si>
    <t>Eluf-Neto, Jose/B-2522-2009; Giovannucci, Edward/ADE-8028-2022; Ferrari, Gerson/ABG-6635-2021; Rezende, Leandro/C-1724-2012; Ferrari, Gerson/P-1152-2014</t>
  </si>
  <si>
    <t>Lee, Dong Hoon/0000-0003-1329-4637; Rezende, Leandro/0000-0002-7469-1399; Ferrari, Gerson/0000-0003-3177-6576</t>
  </si>
  <si>
    <t>0957-5243</t>
  </si>
  <si>
    <t>1573-7225</t>
  </si>
  <si>
    <t>10.1007/s10552-020-01367-0</t>
  </si>
  <si>
    <t>NOV 2020</t>
  </si>
  <si>
    <t>WOS:000590458900001</t>
  </si>
  <si>
    <t>Ramírez-Vélez, R; Castro-Astudillo, K; Correa-Bautista, JE; González-Ruíz, K; Izquierdo, M; García-Hermoso, A; Alvarez, C; Ramírez-Campillo, R; Correa-Rodríguez, M</t>
  </si>
  <si>
    <t>Ramirez-Velez, Robinson; Castro-Astudillo, Karem; Correa-Bautista, Jorge Enrique; Gonzalez-Ruiz, Katherine; Izquierdo, Mikel; Garcia-Hermoso, Antonio; alvarez, Cristian; Ramirez-Campillo, Rodrigo; Correa-Rodriguez, Maria</t>
  </si>
  <si>
    <t>The Effect of 12 Weeks of Different Exercise Training Modalities or Nutritional Guidance on Cardiometabolic Risk Factors, Vascular Parameters, and Physical Fitness in Overweight Adults: Cardiometabolic High-Intensity Interval Training-Resistance Training Randomized Controlled Study</t>
  </si>
  <si>
    <t>Ramirez-Velez, R, Castro-Astudillo, K, Correa-Bautista, JE, Gonzalez-Ruiz, K, Izquierdo, M, Garcia-Hermoso, A, alvarez, C, Ramirez-Campillo, R, and Correa-Rodriguez, M. The effect of 12 weeks of different exercise training modalities or nutritional guidance on cardiometabolic risk factors, vascular parameters and physical fitness in overweight adults: cardiometabolic high-intensity interval training-resistance training randomized controlled study.J Strength Cond Res34(8): 2178-2188, 2020-Evidence suggests that exercise training improves cardiometabolic risk factors. The aim of this study was to investigate whether 12 weeks of high-intensity interval training (HIIT), resistance training (RT), concurrent training (CT = HIIT + RT), or nutritional guidance (NG) induced improvements in cardiometabolic risk factors, vascular parameters, and physical fitness in overweight adults, and to compare the responses between the 4 intervention groups. This is a twelve-weeks factorial randomized design examining the effects of different exercise regimes and/or NG on anthropometric and body composition (fat and lean mass at whole body, trunk fat, fat mass index, appendicular muscle mass, and waist circumference); cardiometabolic risk factors and vascular parameters (blood lipids, fasting glucose, blood pressure, flow-mediated dilation [FMD%], aortic pulse wave velocity (PWV), and augmentation index); and physical fitness (cardiorespiratory fitness and handgrip strength). Adjusted mixed linear models revealed a significant improvement in cardiorespiratory fitness (mL center dot kg(-1)center dot min(-1)): HIIT +8.3, RT +4.1, and CT +6.3 (allp&lt; 0.001). The improvement difference between the groups was statistically significant between the HIIT and NG group (p= 0.014), (time x group interactionF((23.564));p&lt; 0.001; eta(2)partial = 0.365). In addition, the RT and CT groups have a significant positive impact on PWV (m center dot s(-1)) (d= 0.391 and 0.229 respectively;p&lt; 0.001, (time x group interaction F-(5.457);p= 0.003; eta(2)partial = 0.280). Hereafter, the RT group has a significant positive impact on the FMD (%) in comparison to HIIT, CT, or NG group (time x group interactionF((2.942));p= 0.044; eta(2)partial = 0.174). The main findings of this study are that 12 weeks of HIIT leads to significant improvements in cardiorespiratory fitness, whereas RT resulted in improvements in the vascular profile, supporting the positive effect of both training programs for cardiometabolic risk factors in sedentary and overweight adults.</t>
  </si>
  <si>
    <t>Ramirez-Campillo, Rodrigo/M-1258-2016; ALVAREZ, CRISTIAN/S-8150-2019; García-Hermoso, Antonio/ADU-2591-2022; González-Ruíz, Katherine/CAA-4624-2022; Correa-Bautista, Jorge Enrique/JDD-3131-2023; Ramirez-Velez, Robinson/D-5311-2016; Garcia-Hermoso, Antonio/P-1857-2017; Correa-Rodriguez, Maria/G-1793-2018; Correa-Bautista, Jorge Enrique/N-2741-2015; Izquierdo, Mikel/A-4894-2010</t>
  </si>
  <si>
    <t>Ramirez-Velez, Robinson/0000-0003-3075-6960; Alvarez, Cristian/0000-0003-4783-9981; Ramirez-Campillo, Rodrigo/0000-0003-2035-3279; Gonzalez-Ruiz, Katherine/0000-0001-7518-0761; Garcia-Hermoso, Antonio/0000-0002-1397-7182; Correa-Rodriguez, Maria/0000-0001-9165-4349; Correa-Bautista, Jorge Enrique/0000-0002-0646-2316; Izquierdo, Mikel/0000-0002-1506-4272</t>
  </si>
  <si>
    <t>10.1519/JSC.0000000000003533</t>
  </si>
  <si>
    <t>WOS:000559344800010</t>
  </si>
  <si>
    <t>Escobar, RA; Tryputen, L; Castillo-Sepúlveda, S; Altbir, D; Chung, S; Nguyen, TNA; Mohseni, M; Åkerman, J; Ross, CA</t>
  </si>
  <si>
    <t>Escobar, Roberto A.; Tryputen, Larysa; Castillo-Sepulveda, Sebastian; Altbir, Dora; Chung, Sunjae; Nguyen, T. N. Anh; Mohseni, M.; Akerman, Johan; Ross, Caroline A.</t>
  </si>
  <si>
    <t>Monte Carlo Modeling of Mixed-Anisotropy [Co/Ni]2/NiFe Multilayers</t>
  </si>
  <si>
    <t>IEEE MAGNETICS LETTERS</t>
  </si>
  <si>
    <t>The magnetic properties of a thin film consisting of an exchange-coupled [Co/Ni](2)/NiFe multilayer have been studied as a function of the NiFe thickness by using Monte Carlo modeling and compared with experimental results of [Co/Ni](4)/Co/NiFe multilayers. Both modeling and experiment showed that the NiFe thickness controls the effective anisotropy. The direction of the easy axis is determined by a competition between the perpendicular crystalline anisotropy of the Co/Ni and the shape anisotropy of the multilayer. As the thickness of the NiFe layer increases, the reversal mechanism of the thin film changes from the nucleation of reverse domains to vortex propagation. Therefore, our results reveal the magnetic configurations and the easy axis reorientation of mixed-anisotropy multilayers.</t>
  </si>
  <si>
    <t>Tuan, Nguyen/A-1356-2019; Åkerman, Johan/B-5726-2008; Mohseni, Seyed/AAE-1636-2019; Ross, Caroline/JTU-1137-2023; Chung, Sunjae/B-9998-2012; Altbir, Dora/R-6781-2018</t>
  </si>
  <si>
    <t>Altbir, Dora/0000-0002-2945-4909; Akerman, Johan/0000-0002-3513-6608; Castillo, Sebastian/0000-0001-7730-8773</t>
  </si>
  <si>
    <t>1949-307X</t>
  </si>
  <si>
    <t>10.1109/LMAG.2015.2512530</t>
  </si>
  <si>
    <t>WOS:000373054700001</t>
  </si>
  <si>
    <t>Nómez, N</t>
  </si>
  <si>
    <t>Nomez, Nain</t>
  </si>
  <si>
    <t>POEMS</t>
  </si>
  <si>
    <t>ANALES DE LITERATURA CHILENA</t>
  </si>
  <si>
    <t>0717-6058</t>
  </si>
  <si>
    <t>0719-0913</t>
  </si>
  <si>
    <t>WOS:001248161100031</t>
  </si>
  <si>
    <t>Birba, A; Vitale, F; Padrón, I; Dottori, M; de Vega, M; Zimerman, M; Sedeño, L; Ibáñez, A; García, AM</t>
  </si>
  <si>
    <t>Birba, Agustina; Vitale, Francesca; Padron, Ivan; Dottori, Martin; de Vega, Manuel; Zimerman, Maximo; Sedeno, Lucas; Ibanez, Agustin; Garcia, Adolfo M.</t>
  </si>
  <si>
    <t>Electrifying discourse: Anodal tDCS of the primary motor cortex selectively reduces action appraisal in naturalistic narratives</t>
  </si>
  <si>
    <t>Non-invasive stimulation of the primary motor cortex (M1) modulates processing of decontextualized action words and sentences (i.e., verbal units denoting bodily motion). This suggests that language comprehension hinges on brain circuits mediating the bodily experiences evoked by verbal material. Yet, despite its relevance to constrain mechanistic language models, such a finding fails to reveal whether and how relevant circuits operate in the face of full-blown, everyday texts. Using a novel naturalistic discourse paradigm, we examined whether direct modulation of M1 excitability influences the grasping of narrated actions. Following random group assignment, participants received anodal transcranial direct current stimulation over the left M1, or sham stimulation of the same area, or anodal stimulation of the left ventrolateral prefrontal cortex. Immediately afterwards, they listened to action-laden and neutral stories and answered questions on information realized by verbs (denoting action and non-action processes) and circumstances (conveying locative or temporal details). Anodal stimulation of the left M1 selectively decreased outcomes on action-relative to non-action information ea pattern that discriminated between stimulated and sham participants with 74% accuracy. This result was particular to M1 and held irrespective of the subjects' working memory and vocabulary skills, further attesting to its specificity. Our findings suggest that offline modulation of motor-network excitability might lead to transient unavailability of putative resources needed to evoke actions in naturalistic texts, opening promising avenues for the language embodiment framework. (C) 2020 Elsevier Ltd. All rights reserved.</t>
  </si>
  <si>
    <t>Padron Gonzalez, Ivan/ABH-8160-2020; Birba, Agustina/AFR-3037-2022; de vega, manuel/F-8222-2011; García, Adolfo/E-7150-2017; Vitale, Francesca/ISB-4976-2023; Ibanez, Agustin/H-7976-2015; Padron Gonzalez, Ivan/J-9852-2016</t>
  </si>
  <si>
    <t>Vitale, Francesca/0000-0002-3050-9452; Ibanez, Agustin/0000-0001-6758-5101; Padron Gonzalez, Ivan/0000-0001-8093-5225; Birba, Agustina/0000-0001-5998-6634</t>
  </si>
  <si>
    <t>10.1016/j.cortex.2020.08.005</t>
  </si>
  <si>
    <t>WOS:000588059000033</t>
  </si>
  <si>
    <t>Velasco-Orjuela, GP; Domínguez-Sanchéz, MA; Hernández, E; Correa-Bautista, JE; Triana-Reina, HR; García-Hermoso, A; Peña-Ibagon, JC; Izquierdo, M; Cadore, EL; Hackney, AC; Ramírez-Vélez, R</t>
  </si>
  <si>
    <t>Velasco-Orjuela, Gina P.; Dominguez-Sanchez, Maria A.; Hernandez, Enrique; Correa-Bautista, Jorge E.; Triana-Reina, Hector R.; Garcia-Hermoso, Antonio; Pena-Ibagon, Jhonatan C.; Izquierdo, Mikel; Cadore, Eduardo L.; Hackney, Anthony C.; Ramirez-Velez, Robinson</t>
  </si>
  <si>
    <t>Acute effects of high-intensity interval, resistance or combined exercise protocols on testosterone - cortisol responses in inactive overweight individuals</t>
  </si>
  <si>
    <t>PHYSIOLOGY &amp; BEHAVIOR</t>
  </si>
  <si>
    <t>The purpose of this study was to compare the hormonal responses to one session of high-intensity interval training (HIIT, 4 x 4 min intervals at 85-95% maximum heart rate [HRmax], interspersed with 4 min of recovery at 75-85% HRmax), resistance training (RT at 50-70% of one repetition maximum 12-15 repetitions per set with 60s of recovery) or both (HIIT + RT) exercise protocol in a cohort of physical inactivity, overweight adults (age 18-30 years old). Randomized, parallel-group clinical trial among fifty-one men (23.6 +/- 3.5 yr; 83.5 +/- 7.8 kg; 28.0 +/- 1.9 kg/m2), physical inactivity (i.e., &lt; 150 min of moderate-intensity exercise per week for &gt; 6 months), with abdominal obesity (waist circumference &gt;= 90 cm) or body mass index &gt;= 25 and &lt;= 30 kg/m(2) were randomized to the following 4 groups: high-intensity interval training (HIIT, n = 14), resistance training (RT, n = 12), combined high-intensity interval and resistance training (HIIT + RT, n = 13), or non exercising control (CON, n = 12). Cortisol, total-and free-testosterone and total-testosterone/cortisol-ratio (T/C) assessments (all in serum) were determined before (pre) and 1-min post-exercise for each protocol session. Decreases in cortisol levels were -57.08 (95%CI, -75.58 to -38.58; P = 0.001; eta(2) = 0.61) and -37.65 (95%CI, -54.36 to -20.93; P = 0.001;eta(2) = 0.51) in the HUT and control group, respectively. Increases in T/C ratio were 0.022 (95%CI, 0.012 to 0.031; P = 0.001; eta(2) = 0.49) and 0.015 (95%CI, 0.004 to 0.025; P = 0.007; eta(2) = 0.29) in the HIIT and control group, respectively. In per-protocol analyses revealed a significant change in cortisol levels [interaction effect F((7.777)), eta(2) = 0.33] and T/C ratio [interaction effect F((5.298)), eta(2) = 0.25] between groups over time. Additionally, we showed that in both the intention-to-treat (ITT) and per protocol analyses, HIIT + RT did not change serum cortisol, total or free testosterone. The present data indicate a HIIT reduced cortisol and increased total-testosterone/cortisol-ratio levels significantly in physically inactive adults. Further study is required to determine the biological importance of these changes in hormonal responses in overweight men.</t>
  </si>
  <si>
    <t>Triana-Reina, Héctor/JMP-5055-2023; García-Hermoso, Antonio/ADU-2591-2022; Correa-Bautista, Jorge Enrique/JDD-3131-2023; Peña, Jhonatan/X-2294-2018; HACKNEY, ANTHONY/D-9521-2013; Garcia-Hermoso, Antonio/P-1857-2017; Ramirez-Velez, Robinson/D-5311-2016; Correa-Bautista, Jorge Enrique/N-2741-2015; Izquierdo, Mikel/A-4894-2010; Lusa Cadore, Eduardo/T-3016-2017</t>
  </si>
  <si>
    <t>Garcia-Hermoso, Antonio/0000-0002-1397-7182; Ramirez-Velez, Robinson/0000-0003-3075-6960; Dominguez Sanchez, Maria Andrea/0000-0003-0830-7990; pena, Jhonatan/0000-0002-0580-8151; TRIANA-REINA, HECTOR REYNALDO/0000-0002-6334-7082; Correa-Bautista, Jorge Enrique/0000-0002-0646-2316; Izquierdo, Mikel/0000-0002-1506-4272; Lusa Cadore, Eduardo/0000-0003-4397-9485</t>
  </si>
  <si>
    <t>0031-9384</t>
  </si>
  <si>
    <t>1873-507X</t>
  </si>
  <si>
    <t>10.1016/j.physbeh.2018.06.034</t>
  </si>
  <si>
    <t>WOS:000442704900051</t>
  </si>
  <si>
    <t>Fuentes, E; Yameen, B; Bong, SJ; Salvador-Morales, C; Palomo, I; Vilos, C</t>
  </si>
  <si>
    <t>Fuentes, Eduardo; Yameen, Basit; Bong, Soung-Jae; Salvador-Morales, Carolina; Palomo, Ivan; Vilos, Cristian</t>
  </si>
  <si>
    <t>Antiplatelet effect of differentially charged PEGylated lipid-polymer nanoparticles</t>
  </si>
  <si>
    <t>NANOMEDICINE-NANOTECHNOLOGY BIOLOGY AND MEDICINE</t>
  </si>
  <si>
    <t>PEGylated nanoparticles have been extensively investigated in different platforms for drug delivery. However, the physiological effects related to platelet activation, and the potential procoagulant activity which could lead to thrombosis and further cardiovascular diseases have not been widely examined. In this work, we studied the effect of differentially charged PEGylated lipid-polymer nanoparticles in the human platelet aggregation and activation by light transmission aggregometry and flowcytometry. PEGylated nanoparticles inhibited the platelet aggregation with a dose dependency (350, 700, and 1400 mu g/mL) in both ADP-and collagen-induced platelet aggregation, and P-selectin expression. Charged nanoparticles (anionic and cationic) presented higher inhibitions of the platelet aggregation compared to neutral nanoparticles, and particularly the cationic particles generated a slightly higher effect. The obtained results demonstrated the safety of the differentially charged PEGylated lipidpolymer nanoparticles, and their ability to inhibit the aggregation and activation of human platelets stimulated by two classic platelet activators. (C) 2016 Elsevier Inc. All rights reserved.</t>
  </si>
  <si>
    <t>Ortiz, Cristian/F-9162-2014; Palomo, Iván/I-4321-2018; Yameen, Basit/AAX-7543-2021; Fuentes, Eduardo/I-2889-2017</t>
  </si>
  <si>
    <t>Palomo, Ivan/0000-0002-9618-8778; Fuentes, Eduardo/0000-0003-0099-4108; Vilos, Cristian/0000-0001-5619-3348</t>
  </si>
  <si>
    <t>1549-9634</t>
  </si>
  <si>
    <t>1549-9642</t>
  </si>
  <si>
    <t>10.1016/j.nano.2016.10.010</t>
  </si>
  <si>
    <t>WOS:000401089100030</t>
  </si>
  <si>
    <t>Molero, M; Matteucci, F; Spitoni, E; Rojas-Arriagada, A; Rich, RM</t>
  </si>
  <si>
    <t>Molero, M.; Matteucci, F.; Spitoni, E.; Rojas-Arriagada, A.; Rich, R. M.</t>
  </si>
  <si>
    <t>Chemical evolution of the Galactic bulge with different stellar populations</t>
  </si>
  <si>
    <t>Context. The metallicity distribution function (MDF) of the Galactic bulge is characterized by a multi-peak shape, with a metal-poor peak centered at [Fe/H] similar to -0.3 dex and a metal-rich peak centered at [Fe/H] similar to +0.3 dex. The bimodality of the MDF is also reflected in the [alpha/Fe] versus [Fe/H] abundance ratios, suggesting the presence of different stellar populations in the bulge. Aims. In this work we aim to reproduce the observed MDF of the Galactic bulge by testing a scenario in which the metal-poor component of the bulge is formed by stars formed in situ, during a strong burst of star formation, while the metal-rich population is formed by stars created in situ during a second burst of star formation and/or stars accreted from the innermost part of the Galactic disk as an effect of a growing bar. Methods. We adopted a chemical evolution model that is able to follow the evolution of several chemical species with detailed nucleosynthesis prescriptions. In particular, because of the importance of the production of Fe in constraining the MDF, close attention is paid to the production of this element in both Type Ia supernovae and massive stars. In particular, we included yields from rotating massive stars with different rotational velocity prescriptions. Our model also takes the infall and outflow of gas into account, as well as the effect of stellar migration. Results are compared to similar to 13 000 stars from the SDSS/APOGEE survey that belong to the region located at a Galactocentric distance RGC &lt;= 3.5 kpc. Results. We successfully reproduce the observed double-peak shape of the bulge MDF as well as the abundance trends of the alpha elements relative to Fe by assuming both (i) a multi-burst star formation history with a quenching of the first burst of similar to 102 Myr and (ii) migration of stars from the innermost part of the Milky Way disk, as an effect of a growing bar. According to our results, the fraction of the stellar mass of the bulge-bar that belongs to the inner disk is similar to 40%. In terms of the nucleosynthesis, we conclude that models that assume either no rotation for massive stars or a distribution of rotational velocities that favors slow rotation at high metallicities best reproduce the observed MDF as well as the [alpha/Fe] and the [Ce/Fe] versus [Fe/H] abundance patterns.</t>
  </si>
  <si>
    <t>Spitoni, Emanuele/LLK-8316-2024; Molero, Marta/KEH-9623-2024</t>
  </si>
  <si>
    <t>Spitoni, Emanuele/0000-0001-9715-5727; Molero, Marta/0000-0002-8854-6547; Rich, Robert/0000-0003-0427-8387; Rojas-Arriagada, Alvaro/0000-0003-0208-8854</t>
  </si>
  <si>
    <t>JUL 18</t>
  </si>
  <si>
    <t>A268</t>
  </si>
  <si>
    <t>10.1051/0004-6361/202450418</t>
  </si>
  <si>
    <t>WOS:001272538400001</t>
  </si>
  <si>
    <t>Araya-Arriagada, J; Bello, F; Shivashankar, G; Neira, D; Durán-Aniotz, C; Acosta, ML; Escobar, MJ; Hetz, C; Chacón, M; Palacios, AG</t>
  </si>
  <si>
    <t>Araya-Arriagada, Joaquin; Bello, Felipe; Shivashankar, Gaganashree; Neira, David; Duran-Aniotz, Claudia; Acosta, Monica L.; Escobar, Maria Jose; Hetz, Claudio; Chacon, Max; Palacios, Adrian G.</t>
  </si>
  <si>
    <t>Retinal Ganglion Cells Functional Changes in a Mouse Model of Alzheimer's Disease Are Linked with Neurotransmitter Alterations</t>
  </si>
  <si>
    <t>JOURNAL OF ALZHEIMERS DISEASE</t>
  </si>
  <si>
    <t>Background: Alzheimer's disease (AD) is the most prevalent form of dementia worldwide. This neurodegenerative syndrome affects cognition, memory, behavior, and the visual system, particularly the retina. Objective: This work aims to determine whether the 5xFAD mouse, a transgenic model of AD, displays changes in the function of retinal ganglion cells (RGCs) and if those alterations are correlated with changes in the expression of glutamate and gamma-aminobutyric acid (GABA) neurotransmitters. Methods: In young (2-3-month-old) and adult (6-7-month-old) 5xFAD and WT mice, we have studied the physiological response, firing rate, and burst of RGCs to various types of visual stimuli using a multielectrode array system. Results: The firing rate and burst response in 5xFAD RGCs showed hyperactivity at the early stage of AD in young mice, whereas hypoactivity was seen at the later stage of AD in adults. The physiological alterations observed in 5xFAD correlate well with an increase in the expression of glutamate in the ganglion cell layer in young and adults. GABA staining increased in the inner nuclear and plexiform layer, which was more pronounced in the adult than the young 5xFAD retina, altering the excitation/inhibition balance, which could explain the observed early hyperactivity and later hypoactivity in RGC physiology. Conclusion: These findings indicate functional changes may be caused by neurochemical alterations of the retina starting at an early stage of the AD disease.</t>
  </si>
  <si>
    <t>Acosta, Monica/H-2700-2019; Hetz, Claudio/ABD-7514-2021; Escobar, Maria/O-7483-2019; Palacios, Adrian/E-9846-2015</t>
  </si>
  <si>
    <t>Acosta, Monica/0000-0002-5018-339X; A. Arriagada, Joaquin Alberto/0000-0002-4698-6149; Palacios, Adrian/0000-0003-1532-7527; Escobar, Maria Jose/0000-0003-1563-624X; Hetz, Claudio/0000-0003-1120-7966; Duran-Aniotz, Claudia/0000-0003-2503-8366</t>
  </si>
  <si>
    <t>1387-2877</t>
  </si>
  <si>
    <t>1875-8908</t>
  </si>
  <si>
    <t>S5</t>
  </si>
  <si>
    <t>S18</t>
  </si>
  <si>
    <t>10.3233/JAD-201195</t>
  </si>
  <si>
    <t>WOS:000667480300002</t>
  </si>
  <si>
    <t>Kumar, KN; Nithya, G; Reddy, GVA; Sattar, SA; Sthuthi, A; Radhalayam, D; Sunil, MA; Rosaiah, P; Prakash, NG; Amina, M; Ko, TJ</t>
  </si>
  <si>
    <t>Kumar, Kilari Naveen; Nithya, G.; Reddy, G. V. Ashok; Sattar, Sheik Abdul; Sthuthi, A.; Radhalayam, Dhanalakshmi; Sunil, M. Anantha; Rosaiah, P.; Prakash, Nunna Guru; Amina, Musarat; Ko, Tae Jo</t>
  </si>
  <si>
    <t>An Impact of Thickness on Structural, Optical, and Electrochromic Properties of WO3 Films Deposited by Sputtering for Smart Window Applications</t>
  </si>
  <si>
    <t>BRAZILIAN JOURNAL OF PHYSICS</t>
  </si>
  <si>
    <t>DC magnetron sputtering (DCMS) was employed to deposit tungsten oxide (WO3) films on corning glass (CG) and fluorine-doped tin oxide (FTO) substrates. The influence of thickness variations on the film structure, surface morphology, optical properties, and electrochromic (EC) characteristics was explored using various analytical techniques including X-ray diffraction (XRD), scanning electron microscopy (SEM), energy-dispersive spectroscopy (EDX), ultraviolet-visible (Uv-Vis) spectroscopy, and cyclic voltammetry (CV). SEM analysis revealed that the thickness of the WO3- 4 film was around 500 nm. The films exhibited smooth surfaces with uniform distributions of small voids and grain clusters. XRD analysis confirmed the amorphous nature of the WO3 thin films. The optical properties of the WO3 films were evaluated using ultraviolet-visible-near-infrared spectroscopy. Films of varying thicknesses displayed different transmittance modulations between the bleached and colored states. The WO3- 2 films exhibited the highest transmittance modulation, reaching 81% at 600 nm. The lowest diffusion coefficient (8.97 x 10(-9) cm(2)/C) was observed in WO3- 1, which also exhibited a coloring efficiency (CE) of 22 cm(2). The CE values for WO3- 2, WO3- 3, and WO3- 4 were 38 cm(2)/C, 40 cm(2)/C, and 16 cm(2)/C, respectively. This study highlighted the significant impact of film thickness on color efficiency, which is a crucial factor in electrochromic (EC) applications.</t>
  </si>
  <si>
    <t>Nunna, Guru Prakash/AFO-6502-2022; Sattar, Abdul/AAB-6821-2020; Maligi, Anantha Sunil/KIC-2741-2024</t>
  </si>
  <si>
    <t>0103-9733</t>
  </si>
  <si>
    <t>1678-4448</t>
  </si>
  <si>
    <t>10.1007/s13538-025-01765-2</t>
  </si>
  <si>
    <t>WOS:001465421800001</t>
  </si>
  <si>
    <t>Nascimento, MD; Marques, A; Ferrari, G; Martins, F; França, C; Gouveia, ER; Ihle, A</t>
  </si>
  <si>
    <t>Nascimento, Marcelo de Maio; Marques, Adilson; Ferrari, Gerson; Martins, Francisco; Franca, Cintia; Gouveia, Elvio R.; Ihle, Andreas</t>
  </si>
  <si>
    <t>Four-year associations of wish-to-die trajectories with changes in the frailty of European citizens aged 50 and over</t>
  </si>
  <si>
    <t>Background: A death wish is a passive ideation about thoughts that suggest dying is better than continuing to live. We investigated the associations of different wish-to-die (WTD) trajectories with changes in frailty over a four-year period in European citizens aged 50 and over. Methods: A longitudinal analysis was conducted with 27,350 participants (13,921 women) from 17 European countries, all aged &gt;= 50 years, who responded to waves 6 and 8 of the Survey of Health, Ageing, and Retirement in Europe (SHARE) project. WTD was assessed by asking, 'In the last month, have you felt that you would rather be dead?'. Frailty was measured using the SHARE-Frailty (SHARE-FI) questionnaire. Results: A significant effect of time on frailty was observed, with a medium effect size (p &lt; 0.001, eta(2)(p) = 0.08), as well as a significant time x group interaction with a medium effect size (p &lt; 0.001, eta(2)(p) = 0.12). Post hoc analysis revealed a 54.5 % increase in frailty for the continued non-WTD trajectory group over four years. The non-WTD to WTD trajectory group showed a 186.0 % increase in frailty, while the continued WTD group showed a 27.9 % increase in frailty. On the other hand, the group with a trajectory from WTD to non-WTD indicated a reduction in the index of 28.8 %. Conclusions: Emerging WTD may be associated with increased frailty in older age. Conversely, frailty may be reduced among those who exchanged the passive idealization of dying for living.</t>
  </si>
  <si>
    <t>Ferrari, Gerson/HHM-6173-2022; Martins, Francisco/JEP-4458-2023; Gouveia, Elvio/F-9156-2015; Marques, Adilson/K-4529-2014</t>
  </si>
  <si>
    <t>10.1016/j.jad.2025.03.012</t>
  </si>
  <si>
    <t>WOS:001450292600001</t>
  </si>
  <si>
    <t>Ludlow, J; Jalil-Vega, F; Rivera, XS; Garrido, RA; Hawkes, A; Staffell, I; Balcombe, P</t>
  </si>
  <si>
    <t>Ludlow, James; Jalil-Vega, Francisca; Rivera, Ximena Schmidt; Garrido, Rene A.; Hawkes, Adam; Staffell, Iain; Balcombe, Paul</t>
  </si>
  <si>
    <t>Organic waste to energy: Resource potential and barriers to uptake in Chile</t>
  </si>
  <si>
    <t>SUSTAINABLE PRODUCTION AND CONSUMPTION</t>
  </si>
  <si>
    <t>Achieving net-zero greenhouse gas emissions by 2050 requires a step-change in resource manage-ment, and the utilisation of organic waste is currently an untapped opportunity in Latin America. This study carries out a quantitative and qualitative assessment of organic waste-to-energy potentials for the Chilean context. First, it produces a comprehensive quantification of organic waste, including annual crop residues, horticulture residues, livestock manure and OFMSW by region; then it estimates the energy potential of these bioresources; and finally, it conducts a series of stakeholder interviews determining barriers to greater waste-to-energy utilisation. The results show that the total bioenergy potential from waste is estimated at 78 PJ/yr (3.3% of annual energy demand), being livestock manure (41%) and annual crop residues (28%) the main sources, arising mostly from three regions. The stakeholder elicitation concluded that financial, technical, and institutional barriers prevent waste utilisation, highlighting the needs to address elevated investment costs and high reliance on landfilling practices, which together with public policies could enable the full exploitation of these resources to ensure energy security and resource efficiency. (C) 2021 Institution of Chemical Engineers. Published by Elsevier B.V. All rights reserved.</t>
  </si>
  <si>
    <t>Jalil-Vega, Francisca/AHC-7214-2022; Hawkes, Adam/F-6631-2012; Garrido, Rene/I-6852-2018</t>
  </si>
  <si>
    <t>Schmidt Rivera, Ximena C./0000-0003-0157-2679; Jalil-Vega, Francisca/0000-0002-3308-1674; Garrido, Rene/0000-0003-1259-0995</t>
  </si>
  <si>
    <t>2352-5509</t>
  </si>
  <si>
    <t>10.1016/j.spc.2021.08.017</t>
  </si>
  <si>
    <t>WOS:000701878600011</t>
  </si>
  <si>
    <t>Rodenkirch, PJ; Rometsch, T; Dullemond, CP; Weber, P; Kley, W</t>
  </si>
  <si>
    <t>Rodenkirch, P. J.; Rometsch, T.; Dullemond, C. P.; Weber, P.; Kley, W.</t>
  </si>
  <si>
    <t>Modeling the nonaxisymmetric structure in the HD 163296 disk with planet-disk interaction</t>
  </si>
  <si>
    <t>Context. High-resolution ALMA observations such as the DSHARP campaign have revealed a variety of rich substructures in numerous protoplanetary disks. These structures consist of rings, gaps, and asymmetric features. It has been debated whether planets can be accounted for among these substructures in the dust continuum. Characterizing the origin of asymmetries, as seen in HD 163296, might lead to a better understanding of planet formation and the underlying physical parameters of the system.Aims. We test the possibility that the formation of the crescent-shaped asymmetry in the HD 163296 disk can be attributed to planet-disk interaction. The goal is to obtain constraints on planet masses, eccentricities, and disk viscosities. Furthermore, we test the reproducibility of the two prominent rings in the HD 163296 disk at 67 and 100 au.Methods. We performed two-dimensional, multi-fluid, hydrodynamical simulations with the FARGO3D code, including three embedded planets in the setup. Dust is described via the pressureless fluid approach and distributed over eight size bins. The resulting grids were post-processed with the radiative transfer code RADMC-3D and CASA software to model the synthetic observations.Results. We find that the crescent-shaped asymmetry can be qualitatively modeled with a Jupiter mass planet at a radial distance of 48 au. Dust is trapped in the trailing Lagrange point L5, preferably, with a mass of between 10 and 15 earth masses. The observation of such a feature constrains the level of viscosity and planetary mass. Increased values of eccentricity of the innermost Jupiter mass planet negatively impacts the stability of the crescent-shaped feature and does not reproduce the observed radial proximity to the first prominent ring in the system. Generally, a low level of viscosity (alpha &lt;= 2 x 10(-3)) is necessary to allow for the existence of such a feature. Including dust feedback in the leading point, L4, can dominantly capture dust for dust grains with an initial Stokes number &lt;= 3.6 x 10(-2). In the synthetic ALMA observation of the model with dust feedback, two crescent-shaped features are visible. The observational results suggest a negligible effect on the part of dust feedback since only one such feature has been detected so far. The dust-to-gas ratio may thus be overestimated in the models. Additionally, the planet mass growth time scale does not strongly affect the formation of such asymmetries in the co-orbital region.</t>
  </si>
  <si>
    <t>Weber, Philipp/HLX-1365-2023; Kley, Wilhelm/A-4921-2012</t>
  </si>
  <si>
    <t>Weber, Philipp/0000-0002-3354-6654; Rometsch, Thomas/0000-0001-5095-349X; Rodenkirch, Peter Jury/0000-0001-7483-2959; Kley, Wilhelm/0000-0002-5149-7497; Dullemond, Cornelis/0000-0002-7078-5910</t>
  </si>
  <si>
    <t>A174</t>
  </si>
  <si>
    <t>10.1051/0004-6361/202038484</t>
  </si>
  <si>
    <t>WOS:000636930800001</t>
  </si>
  <si>
    <t>Espinoza, CM; Kuiper, L; Ho, WCG; Antonopoulou, D; Arzoumanian, Z; Harding, AK; Ray, PS; Younes, G</t>
  </si>
  <si>
    <t>Espinoza, Cristobal M.; Kuiper, Lucien; Ho, Wynn C. G.; Antonopoulou, Danai; Arzoumanian, Zaven; Harding, Alice K.; Ray, Paul S.; Younes, George</t>
  </si>
  <si>
    <t>A Growing Braking Index and Spin-down Swings for the Pulsar PSR B0540-69</t>
  </si>
  <si>
    <t>ASTROPHYSICAL JOURNAL LETTERS</t>
  </si>
  <si>
    <t>The way pulsars spin down is not understood in detail, but a number of possible physical mechanisms produce a spin-down rate that scales as a power of the rotation rate ( nu proportional to-nu n ), with the power-law index n called the braking index. PSR B0540-69 is a pulsar that in 2011, after 16 yr of spinning down with a constant braking index of 2.1, experienced a giant spin-down change and a reduction of its braking index to nearly zero. Here, we show that, following this episode, the braking index monotonically increased during a period of at least 4 yr and stabilized at similar to 1.1. We also present an alternative interpretation of a more modest rotational irregularity that occurred in 2023, which was modeled as an anomalous negative step of the rotation rate. Our analysis shows that the 2023 observations can be equally well described as a transient swing of the spin-down rate (lasting similar to 65 days), and the Bayesian evidence indicates that this model is strongly preferred.</t>
  </si>
  <si>
    <t>Ray, Tridib/B-1640-2015; Espinoza, Cristobal/U-4428-2017</t>
  </si>
  <si>
    <t>Ho, Wynn/0000-0002-6089-6836; Harding, Alice/0000-0001-6119-859X; Younes, George/0000-0002-7991-028X; Ray, Paul/0000-0002-5297-5278; Espinoza, Cristobal/0000-0003-2481-2348; Kuiper, Lucien/0000-0002-7889-6586</t>
  </si>
  <si>
    <t>2041-8205</t>
  </si>
  <si>
    <t>2041-8213</t>
  </si>
  <si>
    <t>L39</t>
  </si>
  <si>
    <t>10.3847/2041-8213/ad778c</t>
  </si>
  <si>
    <t>WOS:001318292400001</t>
  </si>
  <si>
    <t>Moran, J; Ramirez-Campillo, R; Liew, B; Chaabene, H; Behm, DG; García-Hermoso, A; Izquierdo, M; Granacher, U</t>
  </si>
  <si>
    <t>Moran, Jason; Ramirez-Campillo, Rodrigo; Liew, Bernard; Chaabene, Helmi; Behm, David G.; Garcia-Hermoso, Antonio; Izquierdo, Mikel; Granacher, Urs</t>
  </si>
  <si>
    <t>Effects of Vertically and Horizontally Orientated Plyometric Training on Physical Performance: A Meta-analytical Comparison</t>
  </si>
  <si>
    <t>Background In accordance with the principle of training specificity, adaptations to vertically or horizontally orientated plyometric training (VPT, HPT) directly transfer to athletic tasks that are carried out in the same direction as they are performed. Objectives The objective of this systematic review and meta-analysis was to determine the relative effect of VPT and HPT on both vertical and horizontal measures of physical performance. Data Sources Google Scholar, CrossRef, Microsoft Academic, PubMed, Web of Science, Scopus. Study Eligibility Criteria To qualify for inclusion in the meta-analysis, studies must have included a plyometric training intervention that compared jumps executed in a vertical direction [i.e. countermovement jump (CMJ)] to jumps executed in a horizontal direction (i.e. standing horizontal jump). Study Appraisal and Synthesis Methods We used the inverse-variance random effects model for meta-analyses. Effect sizes, calculated from measures of horizontally or vertically orientated performance, were represented by the standardised mean difference and presented alongside 95% confidence intervals (CI). Results For between-group analysis on horizontal outcomes, there was a moderate, significant effect size (ES) in favour of HPT (0.65 [95% CI 0.12, 1.18],Z = 2.41 [p = 0.02]). For the analysis on vertical outcomes, there was a trivial, non-significant difference between VPT and HPT (- 0.04 [95% CI - 0.33, 0.24],Z = 0.0.29 [p = 0.77]). Within-group analysis showed HPT to be superior to VPT across horizontally- (1.05 [0.38, 1.72] vs. 0.84 [0.37, 1.31]) and vertically-orientated (0.74 [0.08, 1.40] vs. 0.72 [0.02, 1.43]) performance measures. For horizontally-orientated outcomes, single-factor moderator analyses showed that longer programmes (&gt; 7 weeks), more sessions (&gt; 12) and combined bilateral and unilateral training were most effective, favouring HPT in each case. In vertically orientated outcomes, these same variables showed only trivial differences between HBT and VBT. Conclusions HPT is at least as effective as VPT at enhancing vertical performance but is superior at enhancing horizontal performance. This means that HPT might be a more efficient method for enhancing multi-vector performance for sport.</t>
  </si>
  <si>
    <t>Moran, Jason/AAJ-1208-2020; Behm, David/I-6509-2019; Ramirez-Campillo, Rodrigo/M-1258-2016; García-Hermoso, Antonio/ADU-2591-2022; Chaabene, Helmi/I-7317-2019; Granacher, Urs/T-9900-2017; Garcia-Hermoso, Antonio/P-1857-2017; Izquierdo, Mikel/A-4894-2010</t>
  </si>
  <si>
    <t>Granacher, Urs/0000-0002-7095-813X; Ramirez-Campillo, Rodrigo/0000-0003-2035-3279; Garcia-Hermoso, Antonio/0000-0002-1397-7182; Izquierdo, Mikel/0000-0002-1506-4272; Moran, Jason/0000-0001-7452-6855; Liew, Bernard/0000-0002-7057-7548</t>
  </si>
  <si>
    <t>10.1007/s40279-020-01340-6</t>
  </si>
  <si>
    <t>SEP 2020</t>
  </si>
  <si>
    <t>WOS:000568164600001</t>
  </si>
  <si>
    <t>Sanchez-Pavon, E; Recio, J; Ramirez, MA; Batanero, B; Clays, K; Mendicuti, F; Marcelo, G; Carmona, T; Castano, O; Angelova, S; Andres, JL; Vaquero, JJ; Cuadro, AM</t>
  </si>
  <si>
    <t>Sanchez-Pavon, Esmeralda; Recio, Javier; Ramirez, Marco Antonio; Batanero, Belen; Clays, Koen; Mendicuti, Francisco; Marcelo, Gema; Carmona, Thais; Castano, Obis; Angelova, Silvia; Andres, Jose L.; Vaquero, Juan J.; Cuadro, Ana M.</t>
  </si>
  <si>
    <t>Highly efficient unbridged D-A plus (D) chromophores based on the quinolizinium cation for nonlinear optical (NLO) applications</t>
  </si>
  <si>
    <t>Novel charged D-A+ chromophores based on quinolizinium cations as acceptor unit have been prepared by treating haloquinolizinium salts with N-heteroarylstannanes under Stille reaction conditions. This approach provides an easy access to potential one-dimensional D-A+ and two-dimensional D-A+-D chromophores in which the acceptor moiety (A+) is the simple azonia cation and the donors are different n-rich N-heterocycles. The first hyperpolarizabilities (8) were measured by hyper-Rayleigh scattering experiments and the experimental data confirmed that the inherent polarization between donor and acceptor fragments modulates the NLO properties. The electronic structures and properties (including both the linear and nonlinear optical properties) of the quinolizinium chromophores were examined by theoretical (DFT, HF and MP2) calculations. A promising strategy for the rational design of D-A building blocks to create new organic-based NLO materials is proposed.</t>
  </si>
  <si>
    <t>Cuadro, Ana/AAC-5953-2019; Recio, Javier/KFS-5393-2024; Clays, Koen/ABF-8131-2020; Carmona, Thais/E-6389-2012; Ramirez, Marco/HGB-3865-2022; marcelo, gema/B-4378-2009; Batanero, Belen/K-4689-2014; Angelova, Silvia/J-9485-2016; Mendicuti, Francisco/E-6175-2012</t>
  </si>
  <si>
    <t>Recio, Javier/0000-0003-0711-0977; marcelo, gema/0000-0003-4955-7400; Batanero, Belen/0000-0003-2630-4814; Angelova, Silvia/0000-0003-4717-8028; Clays, Koen/0000-0001-9490-0023; Ramirez-Morales, Marco A./0000-0002-9377-9695; Mendicuti, Francisco/0000-0001-7930-2703</t>
  </si>
  <si>
    <t>10.1016/j.dyepig.2022.110323</t>
  </si>
  <si>
    <t>JUL 2022</t>
  </si>
  <si>
    <t>WOS:000834621100002</t>
  </si>
  <si>
    <t>Cox, CJ; Walden, VP; Compo, GP; Rowe, PM; Shupe, MD; Steffen, K</t>
  </si>
  <si>
    <t>Cox, Christopher J.; Walden, Von P.; Compo, Gilbert P.; Rowe, Penny M.; Shupe, Matthew D.; Steffen, Konrad</t>
  </si>
  <si>
    <t>Downwelling longwave flux over Summit, Greenland, 2010-2012: Analysis of surface-based observations and evaluation of ERA-Interim using wavelets</t>
  </si>
  <si>
    <t>This study analyzes the downwelling longwave radiation (DLW) over the Greenland Ice Sheet (GrIS) using surface-based observations from Summit Station (72 degrees N, 38 degrees W; 3210m) and the European Centre for Medium-Range Weather Forecasts Interim Reanalysis (ERA-Interim) DLW fields. Since surface-based observations are sparse in the Arctic, the accuracy of including reanalyses for spatial context is assessed. First, the DLW at Summit is reported, including the significant time scales of variability using time-frequency decomposition (wavelet analysis). A new method for evaluating reanalyses is then introduced that also uses wavelet analysis. ERA-Interim DLW performs reasonably well at Summit, but because it includes too many thin clouds and too few thick clouds, it is biased low overall. The correlation between the observations and ERA-Interim drops from r(2)&gt;0.8 to near 0 for time series reconstructed from time scales less than similar to 4days. These low correlations and additional analyses suggest that the spatial resolution of the data sets is a factor in representing variability on short time scales. The bias is low across all time scales and is thus likely tied to cloud generation processes in the model rather than the spatial representation of the atmosphere across the GrIS. The exception is autumn, when ERA-Interim overestimates the influence of clouds at time scales of 1 and 4weeks. The spatial distribution of cloud influence on the DLW across the GrIS indicates that Summit is located in a transition zone with respect to cloud properties. The gradient across this transition zone is steepest near Summit in autumn, so the spatial characteristics of the atmosphere near Summit may contribute to the ERA-Interim bias during this time.</t>
  </si>
  <si>
    <t>COMPO, GILBERT/X-3024-2019; Steffen, Konrad/C-6027-2013; COMPO, GILBERT/E-2209-2017; SHUPE, MATTHEW/F-8754-2011; COX, CHRISTOPHER/O-4276-2016</t>
  </si>
  <si>
    <t>COMPO, GILBERT/0000-0001-5199-9633; SHUPE, MATTHEW/0000-0002-0973-9982; COX, CHRISTOPHER/0000-0003-2203-7173</t>
  </si>
  <si>
    <t>10.1002/2014JD021975</t>
  </si>
  <si>
    <t>WOS:000345696600028</t>
  </si>
  <si>
    <t>Silva-Galaz, C; Saldías, M; Freire, E; Baggio, R; Le Fur, E; Paredes-Garcia, V; Spodine, E; Venegas-Yazigi, D</t>
  </si>
  <si>
    <t>Silva-Galaz, Cristian; Saldias, Marianela; Freire, Eleonora; Baggio, Ricardo; Le Fur, E.; Paredes-Garcia, Veronica; Spodine, Evgenia; Venegas-Yazigi, Diego</t>
  </si>
  <si>
    <t>Catena-(bis((1,10-phenanthroline-N,N′)-copper(II)) hydroxy-bis (phosphato)-tris(dioxo-vanadium(v))): A polymorphic phase driven by disorder</t>
  </si>
  <si>
    <t>In the present paper a copper(II) phosphovanadate is presented and formulated as [Cu-6(phen)(6)((VO2)-O-v)(6) (PO4)(6)((VO2HO)-O-v)(3)] (1a). This compound was obtained by hydrothermal synthesis and crystallizes in the triclinic group P-1, with a = 10.6290(5), b = 17.4275(8), c= 23.6151(11) angstrom; alpha = 92.888(4),degrees beta = 98.910(4)degrees and gamma = 91.995(4)degrees. The leitmotif in (la) is almost identical to some previously reported ones, viz. [Cu(phen)((VO2)-O-v)(PO4)](2)[(VO2)-O-v(OH)] (2); [Cu(phen)((VO2)-O-v)(PO4)](2)[(VO2)-O-IV(H2O)] (3) except for the fact that the small cells found in (2)-(3) are tripled in (la). The reasons driving to these differences are subtle, and reside in the way in which the disorder in some vanadate groups takes place, viz., completely at random in (2)-(3) thus leading to a small average cell, while keeping some systematics in (la) thus needing for a larger motif to take account of its repetition scheme in the crystal. The magnetic unit in the structure of (1a) is defined by a dinuclear system of Cu-II bonded by a mu(2),eta(1)-PO4 bridge. A fit of the corresponding magnetic data of (1a) was done, using the van Vleck equation for two S = 1/2 centres (H = -JS(a).S-b). The parameters obtained by the fit of the experimental data were g = 2.1 and./ = 3.5 cm(-1). (C) 2013 Elsevier B.V. All rights reserved.</t>
  </si>
  <si>
    <t>Saldias, Marianela/KOZ-7335-2024; Paredes-Garcia, Veronica/C-4415-2011; Venegas-Yazigi, Diego/C-5022-2009</t>
  </si>
  <si>
    <t>Freire Espeleta, Eleonora/0000-0002-6026-8696; Venegas-Yazigi, Diego/0000-0001-7816-2841</t>
  </si>
  <si>
    <t>NOV 5</t>
  </si>
  <si>
    <t>10.1016/j.molstruc.2013.08.005</t>
  </si>
  <si>
    <t>WOS:000325841100026</t>
  </si>
  <si>
    <t>Malhotra, A; Brice, DJ; Childs, J; Graham, JD; Hobbie, EA; Stel, HV; Feron, SC; Hanson, PJ; Iversen, CM</t>
  </si>
  <si>
    <t>Malhotra, Avni; Brice, Deanne J.; Childs, Joanne; Graham, Jake D.; Hobbie, Erik A.; Stel, Holly Vander; Feron, Sarah C.; Hanson, Paul J.; Iversen, Colleen M.</t>
  </si>
  <si>
    <t>Peatland warming strongly increases fine-root growth</t>
  </si>
  <si>
    <t>Belowground climate change responses remain a key unknown in the Earth system. Plant fine-root response is especially important to understand because fine roots respond quickly to environmen-tal change, are responsible for nutrient and water uptake, and influence carbon cycling. However, fine-root responses to climate change are poorly constrained, especially in northern peatlands, which contain up to two-thirds of the world's soil carbon. We present fine-root responses to warming between +2 degrees C and 9 degrees C above ambient conditions in a whole-ecosystem peatland experi-ment. Warming strongly increased fine-root growth by over an order of magnitude in the warmest treatment, with stronger re-sponses in shrubs than in trees or graminoids. In the first year of treatment, the control (+0 degrees C) shrub fine-root growth of 0.9 km m(-2) y(-1) increased linearly by 1.2 km m(-2) y(-1) (130%) for every degree increase in soil temperature. An extended below -ground growing season accounted for 20% of this dramatic in-crease. In the second growing season of treatment, the shrub warming response rate increased to 2.54 km m(-2) degrees C-1. Soil mois-ture was negatively correlated with fine-root growth, highlighting that drying of these typically water-saturated ecosystems can fuel a surprising burst in shrub belowground productivity, one possible mechanism explaining the shrubification of northern peatlands in response to global change. This previously unrecognized mech-anism sheds light on how peatland fine-root response to warming and drying could be strong and rapid, with consequences for the belowground growing season duration, microtopography, vegetation composition, and ultimately, carbon function of these globally relevant carbon sinks.</t>
  </si>
  <si>
    <t>Brice, Deanne/B-9048-2012; Malhotra, Avni/R-4970-2019; Childs, Joanne/JDV-5747-2023; Hanson, Paul J./D-8069-2011; Iversen, Colleen/B-8983-2012</t>
  </si>
  <si>
    <t>Graham, Jake/0000-0001-7646-5531; Hanson, Paul J./0000-0001-7293-3561; Vander Stel, Holly/0000-0003-0077-3858; Iversen, Colleen/0000-0001-8293-3450; Feron, Sarah/0000-0002-0572-5639; Childs, Joanne/0000-0002-2002-7337; Hobbie, Erik/0000-0002-1629-6307; Malhotra, Avni/0000-0002-7850-6402</t>
  </si>
  <si>
    <t>10.1073/pnas.2003361117</t>
  </si>
  <si>
    <t>WOS:000555848400006</t>
  </si>
  <si>
    <t>Riveros, AL; Astudillo, J; Vásquez, CC; Jara, DH; Guerrero, AR; Guzman, F; Osorio-Roman, IO; Kogan, MJ</t>
  </si>
  <si>
    <t>Riveros, A. L.; Astudillo, J.; Vasquez, C. C.; Jara, Danilo H.; Guerrero, Ariel R.; Guzman, F.; Osorio-Roman, I. O.; Kogan, M. J.</t>
  </si>
  <si>
    <t>Capping biological quantum dots with the peptide CLPFFD to increase stability and to reduce effects on cell viability</t>
  </si>
  <si>
    <t>Highly fluorescent nanoparticles, or quantum dots, have multiple applications in biology and biomedicine; however, in most cases, it is necessary to functionalize them to enhance their biocompatibility and selectivity. Generally, functionalization is performed after nanoparticle synthesis and involves the use of molecules or macromolecules having two important traits: specific biological activity and functional groups that facilitate nanoparticle capping (i.e. atom-atom interaction). For this reason, we carried out a simple protocol for the chemical synthesis of cadmium telluride quantum dots capped with glutathione, and we then functionalized these nanoparticles with the amphipathic peptide CLPFFD. This peptide attaches selectively to beta-Amyloid fibres, which are involved in Alzheimer's disease. Our results show that the optical properties of the quantum dots are not affected by functionalization with this peptide. Infrared spectra showed that cadmium telluride quantum dots were functionalized with the peptide CLPFFD. In addition, no significant differences were observed between the surface charge of the quantum dots with or without CLPFFD and the nanocrystal size calculated for HR-TEM was 4.2 nm. Finally, our results show that quantum dots with CLPFFD are stable and that they resulted in a significantly reduced cytotoxicity with respect to that induced by quantum dots not conjugated with the peptide. Moreover, the results show that the CLPFFD-functionalized nanoparticles bind to beta-Amyloid fibres.</t>
  </si>
  <si>
    <t>kogan, Marcelo/I-2868-2013; Guerrero, Ariel/A-1395-2012; riveros, ana/AAD-2134-2020; Guzman, Fanny/K-5592-2013; Osorio, Igor/AEX-9230-2022; Jara, Danilo/A-6090-2017</t>
  </si>
  <si>
    <t>Kogan, Marcelo/0000-0003-0608-5087; Jara Quinteros, Danilo/0000-0001-9752-4465; Osorio-Roman, Igor/0000-0001-7502-8698; Riveros, Ana Luisa/0000-0002-1926-4562</t>
  </si>
  <si>
    <t>AUG 11</t>
  </si>
  <si>
    <t>10.1007/s11051-016-3463-5</t>
  </si>
  <si>
    <t>WOS:000382015400010</t>
  </si>
  <si>
    <t>Barria-Asenjo, NA; Polo, SAM; Kim, W; Pospihalj, D; Bristow, D; Willems, B; Salas, G; Letelier, A; Caycho-Rodríguez, T; Muñoz, FAV; Ayala-Colqui, J</t>
  </si>
  <si>
    <t>Barria-Asenjo, Nicol A.; Polo, Simone A. Medina; Kim, Wanyoung; Pospihalj, Dorotea; Bristow, Daniel; Willems, Brian; Salas, Gonzalo; Letelier, Antonio; Caycho-Rodriguez, Tomas; Munoz, Francisco Alejandro Vergara; Ayala-Colqui, Jesus</t>
  </si>
  <si>
    <t>Naming and Fidelity of Truth: Rethinking Revolutionary Politics and Localizing, Delocalizing or Relocalizing the Void in Alain Badiou's Philosophy</t>
  </si>
  <si>
    <t>This article explores the philosophy of Alain Badiou from the vantage point of the concepts of the localization, delocalization, and relocalization of the void as thematized through literary arts, religion, emancipatory politics, and the subject of psychoanalysis. In short, these moments around the void characterize the processes through which truth is processed and seen through their full realization by a philosophical engagement across the various conditions in which these truths occur. The localization of a void is the naming of an indiscernible element that is incommensurable to the rubric of constructible knowledge, sense and meaning which could saturate the space of truth. Thus, the naming that localizes the void acts as a subtraction of the invariant in the variance of situation such that across various points in space and time, we are still able to subtract the universal as the invariant not just as the fidelity to the localized truth but also as the resurrection of truth upon its relocalization at a different place and a different time. At its core, this article is concerned with truth, why truth is persistent, and why we have to struggle to articulate the truth that we are trying to be faithful to again and again with each instance that truth risks being covered -over and obscured.</t>
  </si>
  <si>
    <t>Salas, Gonzalo/AAD-4907-2019; Ayala-Colqui, Jesús/JCO-7738-2023; Willems, Brian/D-4755-2017</t>
  </si>
  <si>
    <t>Ayala-Colqui, Jesus/0000-0002-9059-5401; Medina Polo, Simone/0000-0003-4029-1474; Salas, Gonzalo/0000-0003-0707-8188; Willems, Brian/0000-0002-2141-3854; Letelier Soto, Antonio/0000-0003-0203-7256; Kim, Wanyoung/0000-0002-6826-6644; Vergara Munoz, Francisco Alejandro/0000-0001-7492-7915; Bristow, Daniel/0000-0003-4543-9466</t>
  </si>
  <si>
    <t>10.5209/rpub.92131</t>
  </si>
  <si>
    <t>WOS:001178380700009</t>
  </si>
  <si>
    <t>Longitudinal Associations Between Cognition and Grip Strength, Differentiated by Sex and Physical Activity: A Population-Based Study in Older Adults From 17 European Countries</t>
  </si>
  <si>
    <t>JOURNAL OF AGING AND HEALTH</t>
  </si>
  <si>
    <t>Objectives (1) To investigate longitudinal associations between grip strength (GS) and cognition over 4 years in European older adults, (2) to examine differences in temporal associations between men and women and between levels of physical activity, (3) to explore in each year 2015 and 2019 associations between GS quartiles and cognitive performance, and (4) to explore longitudinal associations between GS quartiles (year 2015) and cognitive performance (year 2019). Methods: 25,281 individuals (14,200 women) from 17 European countries aged &gt;= 50 years responded to waves 6th and 8th of the SHARE project. We analyzed GS, a general cognition index, and physical activity level. Results: Panel analyses revealed a bidirectional relationship over 4 years between GS and cognition, with differences between sex, as well as between participants with moderate-to-vigorous and low physical activity levels. Conclusion: Women and participants with low physical activity were more likely to experience cognitive performance deficits 4 years later.</t>
  </si>
  <si>
    <t>Marques, Adilson/K-4529-2014; Gouveia, Elvio/F-9156-2015; Ferrari, Gerson/HHM-6173-2022</t>
  </si>
  <si>
    <t>Ihle, Andreas/0000-0001-9845-5190</t>
  </si>
  <si>
    <t>0898-2643</t>
  </si>
  <si>
    <t>1552-6887</t>
  </si>
  <si>
    <t>2024 AUG 14</t>
  </si>
  <si>
    <t>10.1177/08982643241273252</t>
  </si>
  <si>
    <t>WOS:001290581500001</t>
  </si>
  <si>
    <t>Unveiling emerging interdisciplinary research challenges in the highly threatened sclerophyllous forests of central Chile</t>
  </si>
  <si>
    <t>BackgroundThe potential ecosystem collapse of forests in Mediterranean-type ecosystems (MTEs) by unprecedented droughts is worrisome due to the impacts on its exceptional biodiversity and human well-being. However, research integrating the impacts of global change drivers, forest resilience and the challenges facing human-nature relationships is still scarce.Methods and resultsUsing the central Chile megadrought and recently massive forest browning event as a model scenario, we identified, through a scientific literature review and an interdisciplinary scientific workshop, the research priorities and questions to address for MTEs in a context of global change. Our results highlighted knowledge gaps that need to be covered, particularly in social and environmental sciences, with an emphasis on soil science. Research priorities must focus on (1) the understanding of interactive effects of global and local anthropogenic drivers on MTEs and (2) the evaluation of the potential impacts of MTEs collapse on human well-being and ecosystem functioning.ConclusionsWe highlight the need for a collaborative approach involving scientists, landowners, managers/administrators, and policymakers to apply adaptive forest management against the current socio-environmental challenges under a global change context.</t>
  </si>
  <si>
    <t>Rojas, Claudia/AAG-5797-2020; Zorondo-Rodríguez, Francisco/GWU-8371-2022; Vargas, Solange/JAC-3024-2023</t>
  </si>
  <si>
    <t>Vargas, Solange P./0000-0001-8953-6220; Ovalle, Juan F./0000-0002-8487-3487</t>
  </si>
  <si>
    <t>AUG 8</t>
  </si>
  <si>
    <t>10.1186/s40693-024-00130-y</t>
  </si>
  <si>
    <t>WOS:001285779200001</t>
  </si>
  <si>
    <t>Pérez, G; Hesse, E; Dottori, M; Birba, A; Amoruso, L; Caro, MM; Ibáñez, A; García, AM</t>
  </si>
  <si>
    <t>Perez, Gonzalo; Hesse, Eugenia; Dottori, Martin; Birba, Agustina; Amoruso, Lucia; Martorell Caro, Miguel; Ibanez, Agustin; Garcia, Adolfo M.</t>
  </si>
  <si>
    <t>The Bilingual Lexicon, Back and Forth: Electrophysiological Signatures of Translation Asymmetry</t>
  </si>
  <si>
    <t>Mainstream theories of first and second language (L1, L2) processing in bilinguals are crucially informed by word translation research. A core finding is the translation asymmetry effect, typified by slower performance in forward translation (FT, from L1 into L2) than in backward translation (BT, from L2 into L1). Yet, few studies have explored its neural bases and none has employed (de)synchronization measures, precluding the integration of bilingual memory models with neural (de)coupling accounts of word processing. Here, 27 proficient Spanish-English bilinguals engaged in FT and BT of single words as we obtained high-density EEG recordings to perform cluster-based oscillatory and non-linear functional connectivity analyses. Relative to BT, FT yielded slower responses, higher frontal theta (4-7 Hz) power in an early window (0-300 ms), reduced centro-posterior lower-beta (14-20 Hz) and centro-frontal upper-beta (21-30 Hz) power in a later window (300-600 ms), and lower fronto-parietal connectivity below 10 Hz in the early window. Also, the greater the behavioral difference between FT and BT, the greater the power of the early theta cluster for FT over BT. These results reveal key (de)coupling dynamics underlying translation asymmetry, offering frequency-specific constraints for leading models of bilingual lexical processing. (c) 2021 IBRO. Published by Elsevier Ltd. All rights reserved.</t>
  </si>
  <si>
    <t>Birba, Agustina/AFR-3037-2022; Amoruso, Lucía/P-6949-2019; Molina, Miguel/AAB-8582-2020; García, Adolfo/E-7150-2017; Ibanez, Agustin/H-7976-2015</t>
  </si>
  <si>
    <t>Ibanez, Agustin/0000-0001-6758-5101; Amoruso, Lucia/0000-0003-4696-2187; Birba, Agustina/0000-0001-5998-6634</t>
  </si>
  <si>
    <t>10.1016/j.neuroscience.2021.11.046</t>
  </si>
  <si>
    <t>WOS:000789609600011</t>
  </si>
  <si>
    <t>García-Hermoso, A; Carrillo, HA; González-Ruíz, K; Vivas, A; Triana-Reina, HR; Martínez-Torres, J; Prieto-Benavidez, DH; Correa-Bautista, JE; Ramos-Sepúlveda, JA; Villa-González, E; Peterson, MD; Ramírez-Vélez, R</t>
  </si>
  <si>
    <t>Garcia-Hermoso, Antonio; Alejandro Carrillo, Hugo; Gonzalez-Ruiz, Katherine; Vivas, Andres; Reynaldo Triana-Reina, Hector; Martinez-Torres, Javier; Humberto Prieto-Benavidez, Daniel; Enrique Correa-Bautista, Jorge; Alexander Ramos-Sepulveda, Jeison; Villa-Gonzalez, Emilio; Peterson, Mark D.; Ramirez-Velez, Robinson</t>
  </si>
  <si>
    <t>Fatness mediates the influence of muscular fitness on metabolic syndrome in Colombian collegiate students</t>
  </si>
  <si>
    <t>The purpose of this study was two-fold: to analyze the association between muscular fitness (MF) and clustering of metabolic syndrome (MetS) components, and to determine if fatness parameters mediate the association between MF and MetS clustering in Colombian collegiate students. This cross-sectional study included a total of 886 (51.9% women) healthy collegiate students (21.4 +/- 3.3 years old). Standing broad jump and isometric handgrip dynamometry were used as indicators of lower and upper body MF, respectively. Also, a MF score was computed by summing the standardized values of both tests, and used to classify adults as fit or unfit. We also assessed fat mass, body mass index, waist-to-height ratio, and abdominal visceral fat, and categorized individuals as low and high fat using international cut-offs. A MetS cluster score was derived by calculating the sum of the sample-specific z-scores from the triglycerides, HDL cholesterol, fasting glucose, waist circumference, and arterial blood pressure. Linear regression models were used to examine whether the association between MF and MetS cluster was mediated by the fatness parameters. Data were collected from 2013 to 2016 and the analysis was done in 2016. Findings revealed that the best profiles (fit + low fat) were associated with lower levels of the MetS clustering (p &lt; 0.001 in the four fatness parameters), compared with unfit and fat (unfit + high fat) counterparts. Linear regression models indicated a partial mediating effect for fatness parameters in the association of MF with MetS clustering. Our findings indicate that efforts to improve MF in young adults may decrease MetS risk partially through an indirect effect on improvements to adiposity levels. Thus, weight reduction should be taken into account as a complementary goal to improvements in MF within exercise programs.</t>
  </si>
  <si>
    <t>González-Ruíz, Katherine/CAA-4624-2022; Triana-Reina, Héctor/JMP-5055-2023; Correa-Bautista, Jorge Enrique/JDD-3131-2023; Peterson, Mark/ABD-3853-2020; García-Hermoso, Antonio/ADU-2591-2022; Correa-Bautista, Jorge Enrique/N-2741-2015; Carrillo Arango, Hugo Alejandro/KUF-2175-2024; Garcia-Hermoso, Antonio/P-1857-2017; Ramirez-Velez, Robinson/D-5311-2016; Villa-Gonzalez, Emilio/G-6421-2015</t>
  </si>
  <si>
    <t>Correa-Bautista, Jorge Enrique/0000-0002-0646-2316; Carrillo Arango, Hugo Alejandro/0000-0001-6832-5379; Ramos-Sepulveda, Jeison Alexander/0000-0003-2734-7912; Garcia-Hermoso, Antonio/0000-0002-1397-7182; Ramirez-Velez, Robinson/0000-0003-3075-6960; TRIANA-REINA, HECTOR REYNALDO/0000-0002-6334-7082; Villa-Gonzalez, Emilio/0000-0002-2815-2060; Peterson, Mark/0000-0002-9861-4275; Vivas, Andres/0000-0001-8169-1664</t>
  </si>
  <si>
    <t>e0173932</t>
  </si>
  <si>
    <t>10.1371/journal.pone.0173932</t>
  </si>
  <si>
    <t>WOS:000396311700079</t>
  </si>
  <si>
    <t>Guerrero, S; Araya, E; Fiedler, JL; Arias, JI; Adura, C; Albericio, F; Giralt, E; Arias, JL; Fernández, MS; Kogan, MJ</t>
  </si>
  <si>
    <t>Guerrero, Simon; Araya, Eyleen; Fiedler, Jenny L.; Arias, J. Ignacio; Adura, Carolina; Albericio, Fernando; Giralt, Ernest; Arias, Jose Luis; Fernandez, M. Soledad; Kogan, Marcelo J.</t>
  </si>
  <si>
    <t>Improving the brain delivery of gold nanoparticles by conjugation with an amphipathic peptide</t>
  </si>
  <si>
    <t>Background &amp; Aims: Gold nanoparticles (GNPs) have promising applications for drug delivery as well as for the diagnosis and treatment of several pathologies, such as those related to the CNS. However, GNPs are retained in a number of organs, such as the liver and spleen. Owing to their negative charge and/or processes of opsonization, GNPs are retained by the reticuloendothelial system, thereby decreasing their delivery to the brain. It is therefore crucial to modify the nanoparticle surface in order to increase its lipophilicity and reduce its negative charge, thus achieving enhanced delivery to the brain. Results: In this article, we have shown that conjugation of 12 nm GNPs with the amphipathic peptide CLPFFD increases the in vivo penetration of these particles to the rat brain. The C(GNP)-LPFFD conjugates showed a smaller negative charge and a greater hydrophobic character than citrate-capped GNPs of the same size. We administered intraperitoneal injections of citrate GNPs and C(GNP)-LPFFD in rats, and determined the gold content in the tissues by neutron activation. Compared with citrate GNPs, the C(GNP)-LPFFD conjugate improved the delivery to the brain, increasing the concentration of gold by fourfold, while simultaneously reducing its retention by the spleen 1 and 2 h after injection. At 24 h, the conjugate was partially cleared from the brain, and mainly accumulated in the liver. The C(GNP)-LPFFD did not alter the integrity of the blood brain barrier, and had no effect on cell viability.</t>
  </si>
  <si>
    <t>Fiedler, Jenny/I-5617-2016; kogan, Marcelo/I-2868-2013; Arias, Jose/E-1206-2011; Guerrero, Simon/GPF-5832-2022; Arias, Jose/H-5489-2013; giralt, ernest/N-1669-2014; Albericio, Fernando/B-4383-2013</t>
  </si>
  <si>
    <t>giralt, ernest/0000-0001-8381-1797; Guerrero, Simon/0000-0002-3003-0337; Albericio, Fernando/0000-0002-8946-0462; Arias, Jose Ignacio/0000-0001-6518-2229; araya, Eyleen/0000-0002-4486-384X; Kogan, Marcelo/0000-0003-0608-5087</t>
  </si>
  <si>
    <t>10.2217/NNM.10.74</t>
  </si>
  <si>
    <t>WOS:000282264800010</t>
  </si>
  <si>
    <t>Gheisari, M; Khan, WZ; Najafabadi, HE; Mcardle, G; Rabiei-Dastjerdi, H; Liu, Y; Fernández-Campusano, C; Abdalla, HB</t>
  </si>
  <si>
    <t>Gheisari, Mehdi; Khan, Wazir Zada; Najafabadi, Hamid Esmaeili; Mcardle, Gavin; Rabiei-Dastjerdi, Hamidreza; Liu, Yang; Fernandez-Campusano, Christian; Abdalla, Hemn Barzan</t>
  </si>
  <si>
    <t>CAPPAD: a privacy-preservation solution for autonomous vehicles using SDN, differential privacy and data aggregation</t>
  </si>
  <si>
    <t>APPLIED INTELLIGENCE</t>
  </si>
  <si>
    <t>Autonomous Vehicles (AVs) and driverless cars which are equipped with communication capabilities, advanced sensing, and Intelligent Control Systems (ICS), aim to modernize the transportation system. It increases user satisfaction by enhancing personal safety, reducing infrastructure costs, decreasing environmental interruption, and saving time for passengers. On the other hand, in emergency cases when AVs require maintenance, their generated sensitive information (e.g., AV location, low brake fluid amount of an AV) should be shared with Road Side Units (RSUs) and other vehicles to address their problems and provide quality services. Despite its appealing benefits, sensitive data sharing carries security and privacy issues that trigger serious risks like unintentional physical accidents. If the privacy of the AV is breached and its sensitive data is unintentionally disclosed during data transmission, adversaries can misuse them and cause artificial accidents. Current studies in this area lack efficiency and cost-effectiveness. To fill this gap and reduce the number of potential accidents, this article proposes a new Context-Aware Privacy-Preserving method for Autonomous Driving (CAPPAD). In particular, the Software-Defined Networking (SDN) paradigm is employed to bring flexibility to AVs' privacy management while its SDN controller runs a novel algorithm for privacy preservation. Depending on whether the data generated is sensitive or not and whether there is an emergency, the AV applies Differential Privacy (DP) or Data Aggregation (DA) as its privacy-preserving method. Finally, extensive simulations are performed through MININET-WIFI to show the performance of CAPPAD in terms of privacy-preserving degree, computational cost overhead, computational complexity overhead, and latency. We also compare it with other relevant well-known studies to show its superior effectiveness.</t>
  </si>
  <si>
    <t>Abdalla, Hemn/JAC-6499-2023; Fernández-Campusano, Christian/M-8749-2018; McArdle, Gavin/GXM-7964-2022; Esmaeili Najafabadi, hamid/AAZ-4165-2020; Rabiei, Hamid/LTD-6854-2024; Gheisari, Mehdi/Y-4681-2018; Liu, Yang/D-2306-2013; Khan, Wazir Zada/G-8580-2015</t>
  </si>
  <si>
    <t>Rabiei-Dastjerdi, Hamidreza/0000-0003-2576-793X; Fernandez-Campusano, Christian/0000-0001-7033-4178; Khan, Wazir Zada/0000-0003-0819-4236</t>
  </si>
  <si>
    <t>0924-669X</t>
  </si>
  <si>
    <t>1573-7497</t>
  </si>
  <si>
    <t>10.1007/s10489-023-04991-w</t>
  </si>
  <si>
    <t>WOS:001168497700002</t>
  </si>
  <si>
    <t>Carrillo, MF; Mendoza, KM; Rojas, VS; Colipán, X; Moreno, MM; Toloza, CA</t>
  </si>
  <si>
    <t>Friz Carrillo, Miguel; Morales Mendoza, Karla; Sumonte Rojas, Valeria; Colipan, Ximena; Manhey Moreno, Monica; Aroca Toloza, Carolina</t>
  </si>
  <si>
    <t>BUILD TEACHER'S PROFESSIONAL IDENTITY FROM INTERCULTURAL EXPERIENCES</t>
  </si>
  <si>
    <t>Various studies highlight the role of narratives in the con-struction of the professional teacher identity in in-service formation. From this perspective, it was asked, what personal and contextual factors contribute to the configuration of professional identity committed to cultural diversity. To answer this, a proposal to analyze the identities of students as an expression or result of their previous experience in contexts of cultural diversity, using strategies, such as critical thinking, collaborative work and problem solving in diverse educational cultural contexts. Case studies were adopted where 27 General Education Students. The interviews showed the absence of themes related cultural diversity in their formation, the presence of a hierarchy of differences and the recognition of their own conceptual and emotional limitations. These results lead us to confirm a personal and social dimension that interacts with shaping the identities in training.</t>
  </si>
  <si>
    <t>WOS:000837995800006</t>
  </si>
  <si>
    <t>Silva, MAS; Romo, AIB; Abreu, DS; Carepo, MSP; Lemus, L; Jafelicci, M; Paulo, TF; Nascimento, OR; Vargas, E; Denardin, JC; Diógenes, ICN</t>
  </si>
  <si>
    <t>Silva, Maria A. S.; Romo, Adolfo I. B.; Abreu, Dieric S.; Carepo, Marta S. P.; Lemus, Luis; Jafelicci, Miguel, Jr.; Paulo, Tercio F.; Nascimento, Otaciro R.; Vargas, Esteban; Denardin, Juliano C.; Diogenes, Izaura C. N.</t>
  </si>
  <si>
    <t>Magnetic nanoparticles as a support for a copper (II) complex with nuclease activity</t>
  </si>
  <si>
    <t>JOURNAL OF INORGANIC BIOCHEMISTRY</t>
  </si>
  <si>
    <t>6th Georgian Bay International Conference on Bioinorganic Chemistry (CanBIC)</t>
  </si>
  <si>
    <t>MAY 23-27, 2017</t>
  </si>
  <si>
    <t>Parry Sound, CANADA</t>
  </si>
  <si>
    <t>Magnetic nanoparticles have been extensively explored for the development of platforms for drug delivery and imaging probes. In this work, we have used a modular capping strategy to produce magnetic gold-coated Fe3O4 (Fe3O4@Au) nanoparticles, which have been decorated with a copper (II) complex containing a thioether derivative of clip-phen (Fe3O4@Au@Cu), where the complex [Cu(2CP-Bz-SMe)](2+) has affinity to bind DNA and proven nuclease activity (2CP-Bz-SMe=1,3-bis((1,10-phenanthrolin-2-yl)oxy)-N-(4-(methylthio)benzylidene)propan-2-imine). The functionalization of Fe3O4@Au with the copper complex occurs through the sulfur atom of the thioether moiety, as indicated by Raman scattering on surface. The magnetic measurements showed the nanomaterial Fe3O4@Au@Cu is still magnetic although the gold shell and the functionalization with the copper complex have diminished the magnetization due to the dilution of the magnetic core. The nuclease assays performed with Fe3O4@Au@Cu indicate that the nuclease activity of the nanomaterial toward the plasmid DNA involves an oxidative pathway in which H2O2 species is involved as intermediate in a Fenton-like reaction. Based on the electron paramagnetic resonance spectra (a(N) = 15.07 G, a(H) = 14.99 G), such nuclease activity is assigned, essentially, to the HO center dot species indicating that the radical production property of [Cu(2CP-Bz-SMe)](2+) is successfully transferred to the core-shell gold-coated Fe3O4 magnetic nanoparticles. To the best of our knowledge, this is the first study reporting nuclease activity due to the reactive oxygen species generated by a copper complex immobilized on a gold-coated magnetic nanoparticle.</t>
  </si>
  <si>
    <t>Romo, Adolfo/ABH-1261-2020; Santiago da Silva, Maria Aparecida/JPX-4404-2023; Denardin, Juliano/S-6407-2019; Carepo, Marta/D-7196-2013; Jafelicci, Miguel/O-2748-2019; Diogenes, Izaura/H-6156-2012; Nascimento, Otaciro/F-2794-2019; Paulo, Tercio/I-5086-2012; S. Abreu, Dieric/L-2977-2017</t>
  </si>
  <si>
    <t>Santiago da Silva, Maria Aparecida/0000-0002-4720-4479; LEMUS, LUIS/0000-0002-5499-8115; Carepo, Marta/0000-0003-3222-8141; Paulo, Tercio/0000-0001-6815-7547; Barros Romo, Adolfo Ignacio/0000-0002-9288-2420; S. Abreu, Dieric/0000-0001-6809-2077</t>
  </si>
  <si>
    <t>0162-0134</t>
  </si>
  <si>
    <t>1873-3344</t>
  </si>
  <si>
    <t>10.1016/j.jinorgbio.2018.06.015</t>
  </si>
  <si>
    <t>WOS:000441704600032</t>
  </si>
  <si>
    <t>Calderon, R; Rajendiran, K; Kim, UJ; Palma, P; Arancibia-Miranda, N; Silva-Moreno, E; Corradini, F</t>
  </si>
  <si>
    <t>Calderon, R.; Rajendiran, Karthikraj; Kim, U. J.; Palma, P.; Arancibia-Miranda, N.; Silva-Moreno, E.; Corradini, F.</t>
  </si>
  <si>
    <t>Sources and fates of perchlorate in soils in Chile: A case study of perchlorate dynamics in soil-crop systems using lettuce (Lactuca sativa) fields</t>
  </si>
  <si>
    <t>Perchlorate occurs naturally in the environment in deposits of nitrate and can be formed in the atmosphere and precipitate into soil. However, little is known about the occurrence and levels of perchlorate in soils and fertilizers in Chile and its impacts on agricultural systems and food safety. In this study, concentrations of perchlorate were determined in 101 surface soils and 17 fertilizers [nitrogenous (n = 8), nitrogen-phosphorous-potassium (NPK; n = 3), phosphate (n = 2) and non-nitrogenous (n = 4)] collected across Chile from 2017 to 2018. Our results show that perchlorate was detected mainly in agricultural soils (mean: 0.32 ng g(-1)), grassland rotation sites (0.41 ngg(-1)) and urban locations (0.38 ng g(-1)). Interestingly, elevated concentrations of perchlorate (9.66 and 54.0 ng g(-1)) were found in agricultural soils. All fertilizers contained perchlorate: nitrogenous fertilizers (mean: 32.6 mg kg-(1)), NPK (mean: 12.6 mg kg(-1)), non-nitrogenous fertilizers (mean: 10.2 mg kg(-1)) and phosphates (mean: 11.5 mg kg(-1)). Only one type of nitrogenous fertilizer (KNO 3 : 95.3 mg kg(-1)) exceeded the international regulation limit (50 mg kg(-1)). For two agronomic practices, the content of perchlorate in lettuce increased as the fertilizer application rate increased, with fertigation promoting a more significant accumulation. However, the concentrations generally remained below regulatory values. Our results suggest that fertilizers constitute an important source of perchlorate in soils. (C) 2020 Elsevier Ltd. All rights reserved.</t>
  </si>
  <si>
    <t>Calderon, Raul/AAP-5930-2020; Kim, Un-Jung/AAI-3695-2020; Arancibia-Miranda, Nicolás/I-6743-2013; Silva-Moreno, Evelyn/B-9545-2012; Corradini, Fabio/K-1306-2019</t>
  </si>
  <si>
    <t>Silva-Moreno, Evelyn/0000-0001-8745-7916; Corradini, Fabio/0000-0001-9696-7643; Palma, Paulina/0000-0001-9156-6269; Kim, Un-Jung/0000-0001-5666-8649; Calderon Araya, Raul Alexis/0000-0002-1094-9661</t>
  </si>
  <si>
    <t>10.1016/j.envpol.2020.114682</t>
  </si>
  <si>
    <t>WOS:000540263400038</t>
  </si>
  <si>
    <t>Rodríguez-Lavado, J; Gallardo-Garrido, C; Mallea, M; Bustos, V; Osorio, R; Hödar-Salazar, M; Chung, H; Araya-Maturana, R; Lorca, M; Pessoa-Mahana, CD; Mella-Raipán, J; Saitz, C; Jaque, P; Reyes-Parada, M; Iturriaga-Vásquez, P; Pessoa-Mahana, H</t>
  </si>
  <si>
    <t>Rodriguez-Lavado, Julio; Gallardo-Garrido, Carlos; Mallea, Michael; Bustos, Victor; Osorio, Rodrigo; Hodar-Salazar, Martin; Chung, Hery; Araya-Maturana, Ramiro; Lorca, Marcos; David Pessoa-Mahana, C.; Mella-Raipan, Jaime; Saitz, Claudio; Jaque, Pablo; Reyes-Parada, Miguel; Iturriaga-Vasquez, Patricio; Pessoa-Mahana, Hernan</t>
  </si>
  <si>
    <t>Synthesis, in vitro evaluation and molecular docking of a new class of indolylpropyl benzamidopiperazines as dual AChE and SERT ligands for Alzheimer's disease</t>
  </si>
  <si>
    <t>EUROPEAN JOURNAL OF MEDICINAL CHEMISTRY</t>
  </si>
  <si>
    <t>During the last decade, the one drug-one target strategy has resulted to be inefficient in facing diseases with complex ethiology like Alzheimer's disease and many others. In this context, the multitarget paradigm has emerged as a promising strategy. Based on this consideration, we aim to develop novel molecules as promiscuous ligands acting in two or more targets at the same time. For such purpose, a new series of indolylpropyl-piperazinyl oxoethyl-benzamido piperazines were synthesized and evaluated as multitarget-directed drugs for the serotonin transporter (SERT) and acetylcholinesterase (AChE). The ability to decrease beta-amyloid levels as well as cell toxicity of all compounds were also measured. In vitro results showed that at least four compounds displayed promising activity against SERT and AChE. Compounds 18 and 19 (IC50 = 3.4 and 3.6 mu M respectively) exhibited AChE inhibition profile in the same order of magnitude as donepezil (DPZ, IC50 = 2.17 mu M), also displaying nanomolar affinity in SERT. Moreover, compounds 17 and 24 displayed high SERT affinities (IC50 = 9.2 and 1.9 nM respectively) similar to the antidepressant citalopram, and significant micromolar AChE activity at the same time. All the bioactive compounds showed a low toxicity profile in the range of concentrations studied. Molecular docking allowed us to rationalize the binding mode of the synthesized compounds in both targets. In addition, we also show that compounds 11 and 25 exhibit significant beta-amyloid lowering activity in a cell-based assay, 11 (50% inhibition, 10 mu M) and 25 (35% inhibition, 10 mu M). These results suggest that indolylpropyl benzamidopiperazines based compounds constitute promising leads for a multitargeted approach for Alzheimers disease. (C) 2020 Elsevier Masson SAS. All rights reserved.</t>
  </si>
  <si>
    <t>Carvajal, Marcos/J-5010-2019; Rodriguez-Lavado, Julio/AAJ-8422-2021; Gallardo-Garrido, Carlos/ABI-6937-2020; Jaque, Pablo/C-7803-2011; Araya-Maturana, Ramiro/N-8747-2015</t>
  </si>
  <si>
    <t>Pessoa-Mahana, David/0000-0002-9571-0173; Rodriguez-Lavado, Julio/0000-0003-2728-9433; mella, jaime/0000-0002-2434-8461; Araya-Maturana, Ramiro/0000-0002-5082-9146; Gallardo-Garrido, Carlos/0000-0002-7837-6003</t>
  </si>
  <si>
    <t>0223-5234</t>
  </si>
  <si>
    <t>1768-3254</t>
  </si>
  <si>
    <t>10.1016/j.ejmech.2020.112368</t>
  </si>
  <si>
    <t>WOS:000539425800016</t>
  </si>
  <si>
    <t>Effects of Bilateral and Unilateral Resistance Training on Horizontally Orientated Movement Performance: A Systematic Review and Meta-analysis</t>
  </si>
  <si>
    <t>Background Both bilateral (BLE) and unilateral resistance exercise (ULE) methods can confer benefit to an athlete, but it remains to be established which has a greater effect on movement speed. Objectives To evaluate the effects of BLE and ULE on horizontal movement performance. Data Sources Google Scholar, CrossRef, and PubMed. Study Eligibility Criteria To qualify for inclusion in the meta-analysis, studies must have included a resistance training intervention that compared the effects of BLE and ULE on a measure of movement speed such as sprinting in healthy study participants. Study Appraisal and Synthesis Methods We used the inverse-variance random-effects model for meta-analyses. Effect sizes (standardised mean difference), calculated from measures of horizontally orientated performance, were represented by the standardised mean difference and presented alongside 95% confidence intervals (CI). Results Though both modalities were effective (BLE = 0.60 [95% CI 0.34, 0.87], Z = 4.44 [p &lt; 0.01]; ULE = 0.57 [95% CI 0.24, 0.89], Z = 3.44 [p = 0.0006]), there was no difference between the effect of BLE and ULE on movement speed (0.17 [95% CI - 0.15, 0.50], Z = 1.03 [p = 0.30]). For BLE, combined strength and plyometric training had the largest effect size (0.88 [95% CI 0.40, 1.36]]) followed by plyometric training (0.55 [95% CI 0.09, 1.01]), with the lowest effect in strength training (0.42 [95% CI - 0.02, 0.86]). For ULE, the largest effect size for training type was in plyometric training (0.78 [95% CI 0.33, 1.24]) closely followed by combined (0.63 [95% CI 0.03, 1.24]) with strength (0.29 [95% CI - 0.42, 1.01]) having a substantially lower effect size. Conclusions Both BLE and ULE are effective in enhancing horizontal movement performance. However, contrary to popular opinion, supported by the concept of training specificity, ULE was no more effective at achieving this than BLE.</t>
  </si>
  <si>
    <t>García-Hermoso, Antonio/ADU-2591-2022; Ramirez-Campillo, Rodrigo/M-1258-2016; Behm, David/I-6509-2019; Moran, Jason/AAJ-1208-2020; Chaabene, Helmi/I-7317-2019; Garcia-Hermoso, Antonio/P-1857-2017; Izquierdo, Mikel/A-4894-2010; Granacher, Urs/T-9900-2017</t>
  </si>
  <si>
    <t>Garcia-Hermoso, Antonio/0000-0002-1397-7182; Liew, Bernard/0000-0002-7057-7548; Izquierdo, Mikel/0000-0002-1506-4272; Granacher, Urs/0000-0002-7095-813X; Moran, Jason/0000-0001-7452-6855; Ramirez-Campillo, Rodrigo/0000-0003-2035-3279</t>
  </si>
  <si>
    <t>10.1007/s40279-020-01367-9</t>
  </si>
  <si>
    <t>WOS:000584032100002</t>
  </si>
  <si>
    <t>Antonova, EE; Stepanova, MV; Moya, PS; Pinto, VA; Vovchenko, VV; Ovchinnikov, IL; Sotnikov, NV</t>
  </si>
  <si>
    <t>Antonova, Elizaveta E.; Stepanova, Marina V.; Moya, Pablo S.; Pinto, Victor A.; Vovchenko, Vadim V.; Ovchinnikov, Ilya L.; Sotnikov, Nikita V.</t>
  </si>
  <si>
    <t>Processes in auroral oval and outer electron radiation belt</t>
  </si>
  <si>
    <t>EARTH PLANETS AND SPACE</t>
  </si>
  <si>
    <t>We have analyzed the role of auroral processes in the formation of the outer radiation belt, considering that the main part of the auroral oval maps to the outer part of the ring current, instead of the plasma sheet as is commonly postulated. In this approach, the outer ring current is the region where transverse magnetospheric currents close inside the magnetosphere. Specifically, we analyzed the role of magnetospheric substorms in the appearance of relativistic electrons in the outer radiation belt. We present experimental evidence that the presence of substorms during a geomagnetic storm recovery phase is, in fact, very important for the appearance of a new radiation belt during this phase. We discuss the possible role of adiabatic acceleration of relativistic electrons during storm recovery phase and show that this mechanism may accelerate the relativistic electrons by more than one order of magnitude.</t>
  </si>
  <si>
    <t>Antonova, Elizaveta/A-2716-2012; Ovchinnikov, Ilya/B-1467-2014; Pinto, Victor/C-9585-2011; Stepanova, Marina/D-6329-2011; Moya, Pablo S./C-3163-2011</t>
  </si>
  <si>
    <t>Antonova, Elizaveta/0000-0001-6980-3993; Ovchinnikov, Ilya/0000-0003-2509-8166; Pinto, Victor/0000-0003-1210-167X; Stepanova, Marina/0000-0002-1053-3375; Moya, Pablo S./0000-0002-9161-0888</t>
  </si>
  <si>
    <t>1880-5981</t>
  </si>
  <si>
    <t>10.1186/s40623-018-0898-1</t>
  </si>
  <si>
    <t>WOS:000441267600001</t>
  </si>
  <si>
    <t>Asiamah, N; Awuviry-Newton, K; Vieira, ER; Bateman, A; Khan, HTA; Mensah, HK; Dintrans, PV; Danquah, E</t>
  </si>
  <si>
    <t>Asiamah, Nestor; Awuviry-Newton, Kofi; Vieira, Edgar R.; Bateman, Andrew; Khan, Hafiz T. A.; Mensah, Henry Kofi; Villalobos Dintrans, Pablo; Danquah, Emelia</t>
  </si>
  <si>
    <t>Older Adults' Vigorous Occupational Physical Activity Levels in Six Countries Are Explained by Country and 'Having Multiple Jobs'</t>
  </si>
  <si>
    <t>Several studies have compared physical activity (PA) levels between countries, but none of these studies focused on older adults and occupational PA. This study aimed to assess potential inequalities in older adults' occupational PA across six countries and to ascertain whether having multiple jobs is a factor that interacts with country of residence to modify inequalities. This study adopted a cross-sectional design with a statistical technique screening for potential covariates. Older adults (mean age = 64 years; range = 50-114 years) from six countries (Russia, Mexico, China, India, Ghana, and South Africa) participated in the study. We utilised data from the first wave of the Study on Global AGEing and Adult Health (SAGE). These data were collected from 2007 to 2010. A random sample of 34,114 older adults completed the survey. We analysed the data with a two-way multivariate analysis of variance after screening for the ultimate covariates. There were differences in occupational PA levels (i.e., vigorous and moderate PA) among the six countries. Occupational PA levels were not significantly associated with having multiple jobs. However, having multiple jobs interacted with country of residence to influence vigorous occupational PA. Older adults from most countries who had more than one job reported more vigorous occupational PA. Older adults' occupational PA differed among the six countries, and having multiple jobs was associated with more vigorous occupational PA. Older adults who keep multiple jobs at a time may be more active than their counterparts who had one job or were unemployed.</t>
  </si>
  <si>
    <t>Asiamah, Nestor/T-7594-2018; Khan, Hafiz/H-9401-2019; Awuviry-Newton, Kofi/AAP-1846-2020; Dintrans, Pablo/AAM-6248-2020; Mensah, Henry Kofi/M-7986-2015; Vieira, Edgar/I-7609-2013</t>
  </si>
  <si>
    <t>Mensah, Henry Kofi/0000-0001-7580-8125; Villalobos Dintrans, Pablo/0000-0002-2236-6447; Vieira, Edgar/0000-0002-1011-5077; Asiamah, Nestor/0000-0002-1157-6430</t>
  </si>
  <si>
    <t>10.3390/ijerph192114065</t>
  </si>
  <si>
    <t>WOS:000882642500001</t>
  </si>
  <si>
    <t>Correa-Rodríguez, M; González-Ruíz, K; Rincón-Pabón, D; Izquierdo, M; García-Hermoso, A; Agostinis-Sobrinho, C; Sánchez-Capacho, N; Roa-Cubaque, MA; Ramírez-Vélez, R</t>
  </si>
  <si>
    <t>Correa-Rodriguez, Maria; Gonzalez-Ruiz, Katherine; Rincon-Pabon, David; Izquierdo, Mikel; Garcia-Hermoso, Antonio; Agostinis-Sobrinho, Cesar; Sanchez-Capacho, Nohora; America Roa-Cubaque, Marcela; Ramirez-Velez, Robinson</t>
  </si>
  <si>
    <t>Normal-Weight Obesity Is Associated with Increased Cardiometabolic Risk in Young Adults</t>
  </si>
  <si>
    <t>Normal-weight obesity (NWO) has been shown to be associated with cardiometabolic dysfunction. However, little is known regarding this potential relationship in early adulthood. The aim of this study was to investigate the associations between NWO and cardiometabolic risk factors in a large population of Colombian young adults. A cross-sectional study was conducted on 1354 subjects (61% women), aged from 18 to 30. Anthropometric data, including body mass index (BMI) and waist circumference (WC), were estimated, and the percentage of fat mass was measured through bioelectrical impedance analysis (BIA). Muscular fitness was determined by using a handgrip strength test and normalized grip strength (NGS = handgrip (kg)/body mass (kg)). A cardiometabolic risk Z-score was derived by assessing WC, triglycerides, high-density lipoprotein cholesterol (HDL-C) cholesterol, fasting glucose, and systolic blood pressure. NWO was defined by the combination of excess %BF (over 25.5% for men and 38.9% for women) and a BMI &lt; 25 kg/m(2). The overall prevalence of NWO was 29.1%. Subjects with NWO have an increased risk of cardiometabolic risk compared to the normal-weight lean group (OR = 3.10). Moreover, NWO was associated with an increased risk of presenting low HDL-C (OR = 2.34), high abdominal obesity (OR = 7.27), and low NGS (OR = 3.30), p &lt; 0.001. There is a high prevalence of NWO in American Latin young adults and this condition is associated with an increased cardiovascular risk, high blood pressure, low HDL-C, high abdominal obesity, and low muscular strength early in life. Screening for adiposity in subjects with a normal BMI could help to identify young adults at a high risk of cardiometabolic abnormalities.</t>
  </si>
  <si>
    <t>González-Ruíz, Katherine/CAA-4624-2022; Rincón-Pabón, David/O-4165-2019; García-Hermoso, Antonio/ADU-2591-2022; Garcia-Hermoso, Antonio/P-1857-2017; Izquierdo, Mikel/A-4894-2010; Correa-Rodriguez, Maria/G-1793-2018; Ramirez-Velez, Robinson/D-5311-2016; Agostinis Sobrinho, Cesar Aparecido/B-4971-2018</t>
  </si>
  <si>
    <t>Gonzalez-Ruiz, Katherine/0000-0001-7518-0761; Garcia-Hermoso, Antonio/0000-0002-1397-7182; Izquierdo, Mikel/0000-0002-1506-4272; Correa-Rodriguez, Maria/0000-0001-9165-4349; Rincon-Pabon, David/0000-0001-9678-2382; Ramirez-Velez, Robinson/0000-0003-3075-6960; Agostinis Sobrinho, Cesar Aparecido/0000-0001-9104-9042</t>
  </si>
  <si>
    <t>10.3390/nu12041106</t>
  </si>
  <si>
    <t>WOS:000531831300226</t>
  </si>
  <si>
    <t>Timofeeva, P; Finisguerra, A; D'Argenio, G; García, AM; Carreiras, M; Quinones, I; Urgesi, C; Amoruso, L</t>
  </si>
  <si>
    <t>Timofeeva, Polina; Finisguerra, Alessandra; D'Argenio, Giulia; Garcia, Adolfo M.; Carreiras, Manuel; Quinones, Ileana; Urgesi, Cosimo; Amoruso, Lucia</t>
  </si>
  <si>
    <t>Switching off: disruptive TMS reveals distinct contributions of the posterior middle temporal gyrus and angular gyrus to bilingual speech production</t>
  </si>
  <si>
    <t>CEREBRAL CORTEX</t>
  </si>
  <si>
    <t>The role of the left temporoparietal cortex in speech production has been extensively studied during native language processing, proving crucial in controlled lexico-semantic retrieval under varying cognitive demands. Yet, its role in bilinguals, fluent in both native and second languages, remains poorly understood. Here, we employed continuous theta burst stimulation to disrupt neural activity in the left posterior middle-temporal gyrus (pMTG) and angular gyrus (AG) while Italian-Friulian bilinguals performed a cued picture-naming task. The task involved between-language (naming objects in Italian or Friulian) and within-language blocks (naming objects [knife] or associated actions [cut] in a single language) in which participants could either maintain (non-switch) or change (switch) instructions based on cues. During within-language blocks, cTBS over the pMTG entailed faster naming for high-demanding switch trials, while cTBS to the AG elicited slower latencies in low-demanding non-switch trials. No cTBS effects were observed in the between-language block. Our findings suggest a causal involvement of the left pMTG and AG in lexico-semantic processing across languages, with distinct contributions to controlled vs. automatic retrieval, respectively. However, they do not support the existence of shared control mechanisms within and between language(s) production. Altogether, these results inform neurobiological models of semantic control in bilinguals.</t>
  </si>
  <si>
    <t>Carreiras, Manuel/D-5267-2009; Finisguerra, Alessandra/AAB-9605-2019; Urgesi, Cosimo/K-4688-2016; García, Adolfo/E-7150-2017; Amoruso, Lucía/P-6949-2019</t>
  </si>
  <si>
    <t>1047-3211</t>
  </si>
  <si>
    <t>1460-2199</t>
  </si>
  <si>
    <t>MAY 2</t>
  </si>
  <si>
    <t>bhae188</t>
  </si>
  <si>
    <t>10.1093/cercor/bhae188</t>
  </si>
  <si>
    <t>WOS:001222546200008</t>
  </si>
  <si>
    <t>Cárcamo, M; Scaife, A; Taylor, R; Jarvis, M; Bowles, M; Sekhar, S; Heino, L; Stil, J</t>
  </si>
  <si>
    <t>Carcamo, Miguel; Scaife, Anna; Taylor, Russ; Jarvis, Matt; Bowles, Micah; Sekhar, Srikrishna; Heino, Lennart; Stil, Jeroen</t>
  </si>
  <si>
    <t>A Compressed Sensing Faraday Depth Reconstruction Framework for the MeerKAT MIGHTEE-POL Survey</t>
  </si>
  <si>
    <t>2022 3RD URSI ATLANTIC AND ASIA PACIFIC RADIO SCIENCE MEETING (AT-AP-RASC)</t>
  </si>
  <si>
    <t>3rd URSI Atlantic and Asia Pacific Radio Science Meeting (AT-AP-RASC)</t>
  </si>
  <si>
    <t>MAY 29-JUN 03, 2022</t>
  </si>
  <si>
    <t>SPAIN</t>
  </si>
  <si>
    <t>URSI</t>
  </si>
  <si>
    <t>In this work we present a novel compute framework for reconstructing Faraday depth signals from noisy and incomplete spectro-polarimetric radio datasets. This framework is based on a compressed-sensing approach that addresses a number of outstanding issues in Faraday depth reconstruction in a systematic and scaleable manner. We apply this framework to early-release data from the MeerKAT MIGH-TEE polarisation survey.</t>
  </si>
  <si>
    <t>Bowles, Micah/GLV-6586-2022; Carcamo, Miguel/LEM-3690-2024</t>
  </si>
  <si>
    <t>Bowles, Micah/0000-0001-5838-8405</t>
  </si>
  <si>
    <t>978-9-4639-6805-8</t>
  </si>
  <si>
    <t>WOS:000848420400165</t>
  </si>
  <si>
    <t>Marconcin, P; Barak, S; Ferrari, G; Gouveia, ÉR; Nascimento, MD; Willig, R; Varela, M; Marques, A</t>
  </si>
  <si>
    <t>Marconcin, Priscila; Barak, Sharon; Ferrari, Gerson; Gouveia, Elvio R.; de Maio Nascimento, Marcelo; Willig, Renata; Varela, Margarida; Marques, Adilson</t>
  </si>
  <si>
    <t>Prevalence of Frailty and Its Association with Depressive Symptoms among European Older Adults from 17 Countries: A 5-Year Longitudinal Study</t>
  </si>
  <si>
    <t>Background: This study aimed to examine the association between frailty and depressive symptoms. Methods: Cross-sectional and five-year longitudinal study. Data were from the population-based Survey of Health, Aging, and Retirement in Europe (SHARE) waves six (2015) and eight (2020). Frailty was assessed using the SHARE-Frailty Instrument. Fatigue, appetite, walking difficulties, and physical activity were self-reported, and grip strength was measured using a handgrip dynamometer. The EURO-D 12-item scale was used to measure depressive symptoms. Results: The sample comprised 25,771 older adults (56.2% female) with a mean age of 66.5 (95% CI 66.4, 66.6) years. The prevalence of frailty was 4.2% (95% CI 3.9, 4.4) in 2015 and 6.7% (95% CI 13.5, 14.3) in 2020. Among frail participants, 72.5% and 69.6% had depression in 2015 and 2020, respectively. Frailty was associated with depression over the 5 years. Those with pre-frailty and those with frailty in 2015 had 1.86 (95% CI 1.71, 2.01) and 2.46 (95% CI 2.14, 2.83) greater odds of having depressive symptoms in 2020. Conclusions: Frailty is a predictor of depression in older adults, and frail participants had greater odds of presenting depressive symptoms.</t>
  </si>
  <si>
    <t>barak, sharon/ADD-4240-2022; Ferrari, Gerson/HHM-6173-2022; Marconcin, Priscila/GRO-2708-2022; Ferrari, Gerson/P-1152-2014; Marques, Adilson/K-4529-2014; Gouveia, Elvio Rubio/F-9156-2015</t>
  </si>
  <si>
    <t>Barak, Sharon/0000-0003-0714-4798; Ferrari, Gerson/0000-0003-3177-6576; Matheus Willig, Renata/0000-0003-1366-0561; de Maio Nascimento, Marcelo/0000-0002-3577-3439; Marconcin, Priscila/0000-0002-1295-0826; Marques, Adilson/0000-0001-9850-7771; Gouveia, Elvio Rubio/0000-0003-0927-692X</t>
  </si>
  <si>
    <t>10.3390/ijerph192114055</t>
  </si>
  <si>
    <t>WOS:000882615500001</t>
  </si>
  <si>
    <t>Marques, A; Peralta, M; Marconcin, P; Henriques-Neto, D; Gouveia, ÉR; Ferrari, G; Martins, J; Sarmento, H; Ihle, A</t>
  </si>
  <si>
    <t>Marques, Adilson; Peralta, Miguel; Marconcin, Priscila; Henriques-Neto, Duarte; Gouveia, Elvio Rubio; Ferrari, Gerson; Martins, Joao; Sarmento, Hugo; Ihle, Andreas</t>
  </si>
  <si>
    <t>A Systematic Review of the Association Between Muscular Fitness and Telomere Length Across the Adult Lifespan</t>
  </si>
  <si>
    <t>This study aimed to systematically review the association between telomere length (TL) and muscular fitness. In October 2020, an articles search was applied to PubMed, Scopus, and Web of Science. Eligibility criteria included: cross-sectional, prospective, and experimental study design; outcomes included TL; results expressed the relationship between muscular fitness and TL; studies published in English, Portuguese, or Spanish. Nine studies were included in the review. Results from the four prospective studies are mixed. In one study, the changes in TL were associated with grip strength. Another study concluded that longer mid-life TL was associated with increased grip strength later in life. However, in the other two studies, the association between TL and sarcopenia was not strong. Nevertheless, longer TL was associated with a slower decline in grip strength in older people. From the four cross-sectional studies, three indicated that TL was associated with muscular fitness. On the other hand, in a study with powerlifters, TL remained within the range of values found in subjects with no history of regular strength training, supporting the notion that muscular fitness was not associated with TL. The cross-sectional and prospective studies showed that the relationship between TL and muscular fitness is not conclusive. It seems that there is a positive association between TL and muscular fitness in middle-aged and older adults. However, among younger adults, this relationship was not observed.</t>
  </si>
  <si>
    <t>Ferrari, Gerson/ABG-6635-2021; Marconcin, Priscila/GRO-2708-2022; Ferrari, Gerson/P-1152-2014; Peralta, Miguel/H-1666-2017; Martins, Joao/N-3067-2018; Marques, Adilson/K-4529-2014; Sarmento, Hugo/K-8684-2012; Gouveia, Elvio Rubio/F-9156-2015; Henriques-Neto, Duarte/I-9265-2012</t>
  </si>
  <si>
    <t>Ferrari, Gerson/0000-0003-3177-6576; Peralta, Miguel/0000-0001-6072-6012; Ihle, Andreas/0000-0001-9845-5190; Martins, Joao/0000-0002-2540-6678; Marques, Adilson/0000-0001-9850-7771; Marconcin, Priscila/0000-0002-1295-0826; Sarmento, Hugo/0000-0001-8681-0642; Gouveia, Elvio Rubio/0000-0003-0927-692X; Henriques-Neto, Duarte/0000-0003-3780-6545</t>
  </si>
  <si>
    <t>10.3389/fphys.2021.706189</t>
  </si>
  <si>
    <t>WOS:000679135500001</t>
  </si>
  <si>
    <t>Sabzalian, MH; Kharajinezhadian, F; Tajally, A; Reihanisaransari, R; Alkhazaleh, HA; Bokov, D</t>
  </si>
  <si>
    <t>Sabzalian, Mohammad Hosein; Kharajinezhadian, Farzam; Tajally, AmirReza; Reihanisaransari, Reza; Alkhazaleh, Hamzah Ali; Bokov, Dmitry</t>
  </si>
  <si>
    <t>New bidirectional recurrent neural network optimized by improved Ebola search optimization algorithm for lung cancer diagnosis</t>
  </si>
  <si>
    <t>BIOMEDICAL SIGNAL PROCESSING AND CONTROL</t>
  </si>
  <si>
    <t>The early detection of cancerous and malignant lung cancer by medical imaging techniques, CT-scan for example, which never needs to do sampling reduces the risk of cancer growth and spreading. Accordingly, computer image processing and diagnostic system development, followed by cancer's classification into malig-nant and benign, is of primary importance in the early discovery of lung cancer which plays a pivotal role in the treatment improvement and saving the patient's life. This work intended to improve malignant and benign gland categorization accuracy and, as a result, detection accuracy. Here, a new methodology has been proposed to get an accurate lung cancer diagnosis system using an improved Bidirectional Recurrent neural network. The improvement of the network has been done by designing an improved form of an Ebola optimization search algorithm. Before applying the major diagnosis system, some preprocessing techniques have been done. The model is then applied to IQ-OTH/NCCD lung cancer dataset and its results are compared with some published works to indicate the eminence of the suggested method toward the comparative ones.</t>
  </si>
  <si>
    <t>Bokov, Dmitry/J-6820-2016; Sabzalian, Mohammadhosein/AGZ-1425-2022</t>
  </si>
  <si>
    <t>Reihanisaransari, Reza/0000-0002-5177-0633; Tajally, AmirReza/0000-0002-6355-7477</t>
  </si>
  <si>
    <t>1746-8094</t>
  </si>
  <si>
    <t>1746-8108</t>
  </si>
  <si>
    <t>10.1016/j.bspc.2023.104965</t>
  </si>
  <si>
    <t>WOS:001032514100001</t>
  </si>
  <si>
    <t>Toro, CS; Salazar, JC; Montero, DA; Ugalde, JA; Diaz, J; Cadiz, LA; Henriquez, T; Garcia, C; Diaz, P; Camponovo, R; Hermosilla, G; Ulloa, MT</t>
  </si>
  <si>
    <t>Toro, Cecilia S.; Salazar, Juan Carlos; Montero, David A.; Ugalde, Juan Antonio; Diaz, Janepsy; Cadiz, Leandro A.; Henriquez, Tania; Garcia, Camila; Diaz, Patricia; Camponovo, Rossanna; Hermosilla, German; Ulloa, Maria Teresa</t>
  </si>
  <si>
    <t>Antimicrobial Resistance Dynamics in Chilean Shigella sonnei Strains Within Two Decades: Role of Shigella Resistance Locus Pathogenicity Island and Class 1 and Class 2 Integrons</t>
  </si>
  <si>
    <t>Shigellosis is an enteric infectious disease in which antibiotic treatment is effective, shortening the duration of symptoms and reducing the excretion of the pathogen into the environment. Shigella spp., the etiologic agent, are considered emerging pathogens with a high public health impact due to the increase and global spread of multidrug-resistant (MDR) strains. Since Shigella resistance phenotype varies worldwide, we present an overview of the resistance phenotypes and associated genetic determinants present in 349 Chilean S. sonnei strains isolated during the periods 1995-1997, 2002-2004, 2008-2009, and 2010-2013. We detected a great variability in antibiotic susceptibility patterns, finding 300 (86%) MDR strains. Mobile genetic elements (MGE), such as plasmids, integrons, and genomic islands, have been associated with the MDR phenotypes. The Shigella resistance locus pathogenicity island (SRL PAI), which encodes for ampicillin, streptomycin, chloramphenicol, and tetracycline resistance genes, was detected by PCR in 100% of the strains isolated in 2008-2009 but was less frequent in isolates from other periods. The presence or absence of SRL PAI was also differentiated by pulsed-field gel electrophoresis. An atypical class 1 integron which harbors the bla(OXA-1)-aadA1-IS1 organization was detected as part of SRL PAI. The dfrA14 gene conferring trimethoprim resistance was present in 98.8% of the 2008-2009 isolates, distinguishing them from the SRL-positive strains isolated before that. Thus, it seems an SRL-dfrA14 S. sonnei clone spread during the 2008-2009 period and declined thereafter. Besides these, SRL-negative strains harboring class 2 integrons with or without resistance to nalidixic acid were detected from 2011 onward, suggesting the circulation of another clone. Whole-genome sequencing of selected strains confirmed the results obtained by PCR and phenotypic analysis. It is highlighted that 70.8% of the MDR strains harbored one or more of the MGE evaluated, while 15.2% lacked both SRL PAI and integrons. These results underscore the temporal dynamics of antimicrobial resistance in S. sonnei strains circulating in Chile, mainly determined by the spread of MGE conferring MDR phenotypes. Since shigellosis is endemic in Chile, constant surveillance of antimicrobial resistance phenotypes and their genetic basis is a priority to contribute to public health policies.</t>
  </si>
  <si>
    <t>Ugalde, Juan/GLV-2034-2022; Henriquez, Tania/GZL-4286-2022; Garrido, Juan/H-2672-2017; Montero, David/AAC-3260-2020; Ugalde, Juan/E-7070-2010</t>
  </si>
  <si>
    <t>Ugalde, Juan/0000-0001-6638-0817; Salazar Garrido, Juan Carlos/0000-0002-2096-2050; Montero Forero, David Arturo/0000-0003-3421-4325; Cadiz, Leandro/0000-0002-8098-4796</t>
  </si>
  <si>
    <t>FEB 4</t>
  </si>
  <si>
    <t>10.3389/fmicb.2021.794470</t>
  </si>
  <si>
    <t>WOS:000761002500001</t>
  </si>
  <si>
    <t>Singla, RK; Singh, D; Verma, R; Kaushik, D; Echeverría, J; Garg, V; Gupta, P; Rahman, MA; Sharma, A; Mittal, V; Shen, BR</t>
  </si>
  <si>
    <t>Singla, Rajeev K.; Singh, Digvijay; Verma, Ravinder; Kaushik, Deepak; Echeverria, Javier; Garg, Vandana; Gupta, Pankaj; Rahman, Mohammad Akhlaquer; Sharma, Ajay; Mittal, Vineet; Shen, Bairong</t>
  </si>
  <si>
    <t>Fermented formulation of Silybum marianum seeds: Optimization, heavy metal analysis, and hepatoprotective assessment</t>
  </si>
  <si>
    <t>Background: Fermented formulations are extensively used in Ayurveda due to several benefits like improved palatability, bioavailability, pharmacological potential, and shelf life. These formulations can also quench the heavy metals from the plant material and thus reduce the toxicity. Seeds of Silybum marianum (L.) Gaertn. are widely used for the management of many liver diseases. Study design and methods: In the present study, we developed a novel fermented formulation of S. marianum seeds and evaluated parameters like safety (heavy metal analysis) and effectiveness (hepatoprotective). As the developed formulation's validation is crucial, the critical process variables (time, pH, and sugar concentration) are optimized for alcohol and silybin content using the Box-Behnken design (BBD). Results: The response surface methodology coupled with BBD predicted the optimized conditions (fermentation time (28 days), pH 5.6, and sugar concentration (22.04%)) for the development of a fermented formulation of the selected herb. Moreover, the alcohol content (6.5 +/- 0.9%) and silybin concentration (26.1 +/- 2.1%) were confirmed in optimized formulation by GC-MS and HPTLC analysis. The optimized formulation was also analyzed for heavy metals (Pb, As, Hg, and Cd); their concentration is significantly less than the decoction of herbs. Further, the comparative evaluation of the developed formulation with the marketed formulation also confirmed that the fermented formulation's silybin concentration and percentage release were significantly enhanced. In addition, the developed fermented formulation's percentage recovery of HepG2 cell lines after treatment with CCl4 was significantly improved compared with the marketed formulation. Conclusion: It can be summarized that the developed fermented formulation improves safety and effectiveness compared to other market formulations. Finally, it can be concluded that the developed fermented formulation could be further explored as a better alternative for developing Silybum marianum preparation.</t>
  </si>
  <si>
    <t>KAUSHIK, DEEPAK/AAS-2170-2020; Echeverría, Javier/E-9989-2011; Rahman, Mohammad Akhlaquer/AAX-1569-2021; Shen, Bairong/W-1254-2019; SHARMA, AJAY/X-3284-2018; Sharma, Ajay/C-6955-2015; Singla, Rajeev K/E-7271-2010</t>
  </si>
  <si>
    <t>Sharma, Ajay/0000-0002-3623-4445; Singla, Rajeev K/0000-0002-3353-7897; Echeverria, Javier/0000-0002-1688-968X</t>
  </si>
  <si>
    <t>10.1016/j.phymed.2023.155286</t>
  </si>
  <si>
    <t>WOS:001168395100001</t>
  </si>
  <si>
    <t>García-Hermoso, A; Ramírez-Vélez, R; Peterson, MD; Lobelo, F; Cavero-Redondo, I; Correa-Bautista, JE; Martínez-Vizcaíno, V</t>
  </si>
  <si>
    <t>Garcia-Hermoso, A.; Ramirez-Velez, R.; Peterson, M. D.; Lobelo, F.; Cavero-Redondo, I.; Correa-Bautista, J. E.; Martinez-Vizcaino, V.</t>
  </si>
  <si>
    <t>Handgrip and knee extension strength as predictors of cancer mortality: A systematic review and meta-analysis</t>
  </si>
  <si>
    <t>The specific role of different strength measures on mortality risk needs to be clarified to gain a better understanding of the clinical importance of different muscle groups, as well as to inform intervention protocols in relation to reducing early mortality. The aim of the systematic review and meta-analysis was to determine the relationship between muscular strength and risk of cancer mortality. Eligible cohort studies were those that examined the association between muscular strength, as assessed using validated tests, and cancer mortality in healthy youth and adults. The hazard ratio (HR) estimates obtained were pooled using random effects meta-analysis models. The outcome was cancer mortality assessed using the HR (Cox proportional hazards model). Eleven prospective studies with 1309413 participants were included, and 9787 cancer-specific deaths were reported. Overall, greater handgrip (HR=0.97, 95% CI, 0.92-1.02; P=.055; I-2=18.9%) and knee extension strength (HR=0.98, 95% CI, 0.95-1.00; P=.051; I-2=60.6%) were barely significant associated with reduced risk of cancer mortality. Our study suggests that higher level of muscular strength is not statistically associated with lower risk of cancer mortality.</t>
  </si>
  <si>
    <t>García-Hermoso, Antonio/ADU-2591-2022; Cavero-Redondo, Ivan/R-4818-2019; VIZCAINO, VICENTE/R-4336-2017; Correa-Bautista, Jorge Enrique/JDD-3131-2023; Peterson, Mark/ABD-3853-2020; Ramirez-Velez, Robinson/D-5311-2016; Garcia-Hermoso, Antonio/P-1857-2017; Correa-Bautista, Jorge Enrique/N-2741-2015; Lobelo, Felipe/AAB-2264-2021</t>
  </si>
  <si>
    <t>Cavero-Redondo, Ivan/0000-0003-2617-0430; Ramirez-Velez, Robinson/0000-0003-3075-6960; Garcia-Hermoso, Antonio/0000-0002-1397-7182; Correa-Bautista, Jorge Enrique/0000-0002-0646-2316; Peterson, Mark/0000-0002-9861-4275; Lobelo, Felipe/0000-0003-4185-7193</t>
  </si>
  <si>
    <t>10.1111/sms.13206</t>
  </si>
  <si>
    <t>WOS:000438364500002</t>
  </si>
  <si>
    <t>Shanmugaraj, K; Mangalaraja, RV; Campos, CH; Udayabhaskar, R; Singh, DP; Vivas, L; Thirumurugan, A; Al-Sehemi, AG; de Leon, JND; Ali, W</t>
  </si>
  <si>
    <t>Shanmugaraj, Krishnamoorthy; Mangalaraja, Ramalinga Viswanathan; Campos, Cristian H.; Udayabhaskar, R.; Singh, Dinesh Pratap; Vivas, Leonardo; Thirumurugan, Arun; Al-Sehemi, Abdullah G.; de Leon, J. N. Diaz; Ali, Wahid</t>
  </si>
  <si>
    <t>Cu-Ni bimetallic nanoparticles anchored on halloysite nanotubes for the environmental remediation</t>
  </si>
  <si>
    <t>Hereby, we report the synthesis of CuNi bimetallic nanoparticles (NPs)-decorated halloysite nanotubes (CuNi/ HNTs) for the catalytic reduction of 4-nitroaniline (4-NA) and rhodamine B (RhB) dye in an aqueous medium at room temperature. In this work, CuNi/HNTs composites with different wt% of CuNi NPs were synthesized and characterized by various techniques such as SEM, EDS, XRD, TEM and XPS. The TEM characterization confirmed that the CuNi bimetallic NPs (similar to 11 nm) were successfully anchored onto the outer surface of HNTs. Among the prepared catalysts, Cu0.75Ni0.25/HNTs catalyst displayed highest catalytic activity in the reduction of 4-NA to its corresponding amino derivative in the presence of NaBH4 with a maximum conversion efficiency of &gt;99% and an apparent rate constant k(app) of 0.152 s(- 1) within 30 s of reaction time. Notably, even after 15 cycles of catalytic reduction of 4-NA and RhB, there was no apparent deactivation of the catalytic activity of the Cu0.75Ni0.25/HNTs catalyst, demonstrating the excellent catalytic reusability and stability. The presence of CuNi NPs with low Ni content enhanced the catalytic activity due to the synergetic effect. Moreover, the continuous flow fixed bed reactor designed with Cu0.75Ni0.25/HNTs catalyst exhibited the potential application for the reduction of 4-NA and RhB dye under mild reaction conditions. Furthermore, the present catalytic system could be applicable for the treatment of various wastewater effluents.</t>
  </si>
  <si>
    <t>Singh, Dinesh/A-2509-2011; al-sehemi, Abdullah/AAM-4039-2020; Vivas, Leonardo/S-1584-2019; Thirumurugan, Arun/O-6324-2017; Viswanathan, Mangalaraja/AAM-6090-2020; KRISHNAMOORTHY, SHANMUGARAJ/IYJ-7427-2023; Rednam, Udayabhaskar/D-8704-2014; Ali, Wahid/U-7460-2017; Ramalinga Viswanathan, Mangalaraja/JOZ-3129-2023; Campos, Cristian/D-6926-2016</t>
  </si>
  <si>
    <t>Diaz de Leon, Jorge Noe/0000-0002-5828-8583; Ali, Wahid/0000-0002-6798-8418; Ramalinga Viswanathan, Mangalaraja/0000-0003-1016-9830; Vivas, Leonardo/0000-0001-5044-9680; Campos, Cristian/0000-0001-8592-5384</t>
  </si>
  <si>
    <t>10.1016/j.surfin.2023.103257</t>
  </si>
  <si>
    <t>WOS:001056722900001</t>
  </si>
  <si>
    <t>Sanahuja, I; Ruiz, A; Firmino, JP; Reyes-López, FE; Ortiz-Delgado, JB; Vallejos-Vidal, E; Tort, L; Tovar-Ramírez, D; Cerezo, IM; Moriñigo, MA; Sarasquete, C; Gisbert, E</t>
  </si>
  <si>
    <t>Sanahuja, Ignasi; Ruiz, Alberto; Firmino, Joana P. P.; Reyes-Lopez, Felipe E. E.; Ortiz-Delgado, Juan B. B.; Vallejos-Vidal, Eva; Tort, Lluis; Tovar-Ramirez, Dariel; Cerezo, Isabel M. M.; Morinigo, Miguel A. A.; Sarasquete, Carmen; Gisbert, Enric</t>
  </si>
  <si>
    <t>Debaryomyces hansenii supplementation in low fish meal diets promotes growth, modulates microbiota and enhances intestinal condition in juvenile marine fish</t>
  </si>
  <si>
    <t>JOURNAL OF ANIMAL SCIENCE AND BIOTECHNOLOGY</t>
  </si>
  <si>
    <t>BackgroundThe development of a sustainable business model with social acceptance, makes necessary to develop new strategies to guarantee the growth, health, and well-being of farmed animals. Debaryomyces hansenii is a yeast species that can be used as a probiotic in aquaculture due to its capacity to i) promote cell proliferation and differentiation, ii) have immunostimulatory effects, iii) modulate gut microbiota, and/or iv) enhance the digestive function. To provide inside into the effects of D. hansenii on juveniles of gilthead seabream (Sparus aurata) condition, we integrated the evaluation of the main key performance indicators coupled with the integrative analysis of the intestine condition, through histological and microbiota state, and its transcriptomic profiling.ResultsAfter 70 days of a nutritional trial in which a diet with low levels of fishmeal (7%) was supplemented with 1.1% of D. hansenii (17.2 x 10(5) CFU), an increase of ca. 12% in somatic growth was observed together with an improvement in feed conversion in fish fed a yeast-supplemented diet. In terms of intestinal condition, this probiotic modulated gut microbiota without affecting the intestine cell organization, whereas an increase in the staining intensity of mucins rich in carboxylated and weakly sulphated glycoconjugates coupled with changes in the affinity for certain lectins were noted in goblet cells. Changes in microbiota were characterized by the reduction in abundance of several groups of Proteobacteria, especially those characterized as opportunistic groups. The microarrays-based transcriptomic analysis found 232 differential expressed genes in the anterior-mid intestine of S. aurata, that were mostly related to metabolic, antioxidant, immune, and symbiotic processes.ConclusionsDietary administration of D. hansenii enhanced somatic growth and improved feed efficiency parameters, results that were coupled to an improvement of intestinal condition as histochemical and transcriptomic tools indicated. This probiotic yeast stimulated host-microbiota interactions without altering the intestinal cell organization nor generating dysbiosis, which demonstrated its safety as a feed additive. At the transcriptomic level, D. hansenii promoted metabolic pathways, mainly protein-related, sphingolipid, and thymidylate pathways, in addition to enhance antioxidant-related intestinal mechanisms, and to regulate sentinel immune processes, potentiating the defensive capacity meanwhile maintaining the homeostatic status of the intestine.</t>
  </si>
  <si>
    <t>Firmino, Joana/AAX-1575-2021; Sanahuja, Ignasi/J-5673-2017; Reyes-López, Felipe/S-1760-2018; Tovar-Ramírez, Dariel/AAO-2184-2020; Tort, Lluis/H-5650-2011; Gisbert, Enric/I-7224-2019; Ortiz Delgado, Juan Bosco/E-1283-2013; Vallejos-Vidal, Eva/R-9606-2019</t>
  </si>
  <si>
    <t>Ortiz Delgado, Juan Bosco/0000-0002-6811-5934; Tort, Lluis/0000-0002-3907-722X; Firmino, Joana/0000-0002-7694-0416; Tovar Ramirez, Dariel/0000-0003-1204-9576; Cerezo, Isabel M./0000-0002-9265-3732; Reyes-Lopez, Felipe E./0000-0002-5001-457X; Vallejos-Vidal, Eva/0000-0002-3091-2700</t>
  </si>
  <si>
    <t>1674-9782</t>
  </si>
  <si>
    <t>2049-1891</t>
  </si>
  <si>
    <t>JUL 9</t>
  </si>
  <si>
    <t>10.1186/s40104-023-00895-4</t>
  </si>
  <si>
    <t>WOS:001022407400001</t>
  </si>
  <si>
    <t>Raju, S; Rathinam, J; Dharmar, B; Rekha, S; Avudaiappan, S; Amran, M; Usanova, KI; Fediuk, R; Guindos, P; Ramamoorthy, RV</t>
  </si>
  <si>
    <t>Raju, Sumathy; Rathinam, Jagadheeswari; Dharmar, Brindha; Rekha, Sasi; Avudaiappan, Siva; Amran, Mugahed; Usanova, Kseniia Iurevna; Fediuk, Roman; Guindos, Pablo; Ramamoorthy, Ramkumar Velayutham</t>
  </si>
  <si>
    <t>Cyclically Loaded Copper Slag Admixed Reinforced Concrete Beams with Cement Partially Replaced with Fly Ash</t>
  </si>
  <si>
    <t>Generally, the concrete with higher strength appears to produce brittle failure more easily. However, the use of mineral admixture can help in enhancing the ductility, energy dissipation, and seismic energy in the designed concrete. This paper presents energy absorption capacity, stiffness degradation, and ductility of the copper slag (CS) admixed reinforced concrete with fly ash (FA) beams subjected to forward cyclic load. The forward cyclic load was applied with the help of servo-hydraulic universal testing machines with 250 kN capacity. Twenty-four beams with a size of 100 mm x 150 mm x 1700 mm made with CS replaced for natural sand from 0% to 100% at an increment of 20%, and FA was replaced for cement from 0% to 30% with an increment of 10% were cast. Beams are designed for the grade of M30 concrete. Based on the preliminary investigation results, compressive strength of the concrete greatly increased when adding these two materials in the concrete. Normally, Grade of concrete can change the behaviour of the beam from a brittle manner to be more ductile manner. So, in this work, flexural behaviour of RC beams are studied with varying compressive strength of concrete. Experimental results showed that the RC beam made with 20% FA and 80% CS (FA20CS80) possesses higher ultimate load-carrying capacity than the control concrete beam. It withstands up to 18 cycles of loading with an ultimate deflection of 60 mm. The CS and FA admixed reinforced concrete composite beams have excellent ultimate load carrying capacity, stiffness, energy absorption capacity, and ductility indices compared to the control concrete beam.</t>
  </si>
  <si>
    <t>amran, mugahed/AAW-4821-2020; dharmar, brindha/AAQ-5813-2020; Avudaiappan, Siva/AAV-7579-2021; Usanova, Kseniya Yurevna/E-6426-2019; Fediuk, Roman/N-6730-2017; Guindos, Pablo/A-4650-2019</t>
  </si>
  <si>
    <t>Usanova, Kseniia/0000-0002-5694-1737; Fediuk, Roman/0000-0002-2279-1240; Guindos, Pablo/0000-0001-7471-0281; AVUDAIAPPAN, SIVA/0000-0002-4289-4298</t>
  </si>
  <si>
    <t>10.3390/ma15093101</t>
  </si>
  <si>
    <t>WOS:000795235700001</t>
  </si>
  <si>
    <t>Rodriguez, PC; Geiger, AJ; Ferri, L; Smedley, RK; Garcia, JL; Herrera, G</t>
  </si>
  <si>
    <t>Rodriguez, P. C.; Geiger, A. J.; Ferri, L.; Smedley, R. K.; Garcia, J. - L.; Herrera, G.</t>
  </si>
  <si>
    <t>Glacial geomorphology between the Gran Campo Nevado and Estrecho de Magallanes, Chile (52-53°S, 73°W)</t>
  </si>
  <si>
    <t>JOURNAL OF MAPS</t>
  </si>
  <si>
    <t>We present the first extensive high-resolution glacial geomorphic map west of the Andean Cordillera in southernmost Chile (52.8-53.1 degrees S, 73.0-73.9 degrees W). The map extends over 1565 km(2) and is based on high-resolution satellite images and aerial photographs. At selected locations, the remotely mapped geomorphology was corroborated by field observations. The study area is dominated by glacial erosional landforms (77%) over depositional landforms (23%), with published submarine depositional landforms having been included (e.g. moraines). Glacial drift, kettle kame topography and lateral and frontal moraines form the primary depositional landforms and sediment associations. Glacial cirques, wide U-shaped valleys, whalebacks, roches moutonnees and scoured bedrock characterize most of the mapped area. The spatial distribution of whalebacks and roches moutonnees in the study area indicates a lack of lithological control on their formation and a warm-based, dynamic ice velocity and thickness regime during Patagonian Ice Sheet cover and retreat during the last glacial cycle.</t>
  </si>
  <si>
    <t>Smedley, Rachel/AAK-4577-2021; Geiger, Alessa/K-9586-2013</t>
  </si>
  <si>
    <t>Rodriguez Caceres, Paulo/0009-0003-8802-0881</t>
  </si>
  <si>
    <t>1744-5647</t>
  </si>
  <si>
    <t>DEC 31</t>
  </si>
  <si>
    <t>10.1080/17445647.2022.2153091</t>
  </si>
  <si>
    <t>WOS:000982080300001</t>
  </si>
  <si>
    <t>Yoris, A; Legaz, A; Abrevaya, S; Alarco, S; López Peláez, J; Sánchez, R; García, AM; Ibáñez, A; Sedeño, L</t>
  </si>
  <si>
    <t>Yoris, Adrian; Legaz, Agustina; Abrevaya, Sofia; Alarco, Sofia; Lopez Pelaez, Jessica; Sanchez, Ramiro; Garcia, Adolfo M.; Ibanez, Agustin; Sedeno, Lucas</t>
  </si>
  <si>
    <t>Multicentric evidence of emotional impairments in hypertensive heart disease</t>
  </si>
  <si>
    <t>The mechanisms underlying emotional alterations constitute a key research target in neuroscience. Emerging evidence indicates that these disruptions can be related to abnormal interoception (i.e., the sensing of visceral feelings), as observed in patients with cardiodynamic deficits. To directly assess these links, we performed the first multicenter study on emotion recognition and interoception in patients with hypertensive heart disease (HHD). Participants from two countries completed a facial emotion recognition test, and a subsample additionally underwent an interoception protocol based on a validated heartbeat detection task. HHD patients from both countries presented deficits in the recognition of overall and negative emotions. Moreover, interoceptive performance was impaired in the HHD group. In addition, a significant association between interoceptive performance and emotion recognition was observed in the control group, but this relation was abolished in the HHD group. All results survived after covariance with cognitive status measures, suggesting they were not biased by general cognitive deficits in the patients. Taken together, these findings suggest that emotional recognition alterations could represent a sui generis deficit in HHD, and that it may be partially explained by the disruption of mechanisms subserving the integration of neuro-visceral signals.</t>
  </si>
  <si>
    <t>García, Adolfo/E-7150-2017; Abrevaya, Sofia/KLC-9330-2024; Ibanez, Agustin/H-7976-2015</t>
  </si>
  <si>
    <t>Abrevaya, Sofia/0000-0003-4091-9962; Lopez Pelaez, Jessica/0000-0001-6529-9160; Ibanez, Agustin/0000-0001-6758-5101</t>
  </si>
  <si>
    <t>10.1038/s41598-020-70451-x</t>
  </si>
  <si>
    <t>WOS:000568842200013</t>
  </si>
  <si>
    <t>Ezzatvar, Y; Ramírez-Vélez, R; de Asteasu, MSL; Martínez-Velilla, N; Zambom-Ferraresi, F; Lobelo, F; Izquierdo, M; García-Hermoso, A</t>
  </si>
  <si>
    <t>Ezzatvar, Yasmin; Ramirez-Velez, Robinson; Saez de Asteasu, Mikel L.; Martinez-Velilla, Nicolas; Zambom-Ferraresi, Fabricio; Lobelo, Felipe; Izquierdo, Mikel; Garcia-Hermoso, Antonio</t>
  </si>
  <si>
    <t>Cardiorespiratory fitness and all-cause mortality in adults diagnosed with cancer systematic review and meta-analysis</t>
  </si>
  <si>
    <t>Introduction The inverse association between cardiorespiratory fitness and all-cause mortality in apparently healthy populations has been previously reported; however, the existence of this association among adults diagnosed with cancer is unclear. Aim To determine the association between cardiorespiratory fitness and all-cause mortality in adults diagnosed with cancer. Methods Medline, Embase, and SPORTDiscus databases were searched. Eligible prospective cohort studies that examined the association of cardiorespiratory fitness with all-cause mortality in adults diagnosed with cancer were included. Hazard ratios (HRs) with associated 95% confidence intervals (CIs) were extracted from studies for all-cause mortality and pooled HRs were calculated using the random-effects inverse-variance model with the Hartung-Knapp-Sidik-Jonkman adjustment. Results Data from 13 studies with 6,486 adults were included. Compared with lower levels of cardiorespiratory fitness, high levels were associated with a reduced risk of all-cause mortality among adults diagnosed with any cancer (HR = 0.52; 95% CI, 0.35-0.77), lung cancer (HR = 0.62; 95% CI, 0.46-0.83), and among those with cardiorespiratory fitness measurement via indirect calorimetry (HR = 0.47; 95% CI, 0.27-0.80). Pooled HRs for the reduction in all-cause mortality risk per 1-MET increase were also statistically significant (HR = 0.82; 95% CI, 0.69-0.99). Neither age at baseline nor the length of follow-up had a significant influence on the HR estimates for all-cause mortality risk. Conclusion Cardiorespiratory fitness may confer an independent protective benefit against all-cause mortality in adults diagnosed with cancer. The use of cardiorespiratory fitness as a prognostic parameter might help determine risk for future adverse clinical events and optimize therapeutic management strategies to reduce long-term treatment-related effects in adults diagnosed with cancer.</t>
  </si>
  <si>
    <t>Ezzatvar, Yasmin/ABC-9574-2020; García-Hermoso, Antonio/ADU-2591-2022; Asteasu, Mikel/A-8973-2017; Izquierdo, Mikel/A-4894-2010; Zambom-Ferraresi, Fabricio/M-1906-2018; Garcia-Hermoso, Antonio/P-1857-2017; Ramirez-Velez, Robinson/D-5311-2016; Lobelo, Felipe/AAB-2264-2021; Martinez-Velilla, Nicolas/A-6942-2017</t>
  </si>
  <si>
    <t>Ezzatvar, Yasmin/0000-0002-9691-5998; Izquierdo, Mikel/0000-0002-1506-4272; Zambom-Ferraresi, Fabricio/0000-0002-8377-9827; Garcia-Hermoso, Antonio/0000-0002-1397-7182; Saez de Asteasu, Mikel Lopez/0000-0002-4111-5045; Ramirez-Velez, Robinson/0000-0003-3075-6960; Lobelo, Felipe/0000-0003-4185-7193; Martinez-Velilla, Nicolas/0000-0001-9576-9960</t>
  </si>
  <si>
    <t>10.1111/sms.13980</t>
  </si>
  <si>
    <t>WOS:000650187700001</t>
  </si>
  <si>
    <t>Ferro, EF; Cid, FM; Silva-Salse, A; Lara, MM; Pérez, AM; Aburto, BN; Acevedo, VB; Briceño, MH; Almonacid, JH; Valdés-Montecinos, M; Muñoz, EA; Peña-Troncoso, S; Araneda, DS; Zavala-Crichton, JP; Sánchez, JM; Brevis-Yeber, M; Catalán, MV</t>
  </si>
  <si>
    <t>Flores Ferro, Elizabeth; Maureira Cid, Fernando; Silva-Salse, Angela; Munoz Lara, Marcelo; Matheu Perez, Alexis; Navarro Aburto, Braulio; Bahamondes Acevedo, Valentina; Hadweh Briceno, Marcelo; Hurtado Almonacid, Juan; Valdes-Montecinos, Michel; Aedo Munoz, Esteban; Pena-Troncoso, Sebastian; Serey Araneda, Daniel; Pablo Zavala-Crichton, Juan; Maureira Sanchez, Juan; Brevis-Yeber, Marcela; Valero Catalan, Mario</t>
  </si>
  <si>
    <t>Institutional perceptions of Physical Education Pedagogy students from Chile</t>
  </si>
  <si>
    <t>Knowing the institutional perception of the agents building up a community is important to improve educational services provided, and allows for the establishment of monitoring, control, and innovation mechanisms within universities to achieve continuous improvement. The objective of this research was to determine the institutional perception of students of Pedagogy in Physical Education from Chile. A total of 908 students (317 women [34.9%]; and 591 men [65.1%]) with average age of 20.1 +/- 2.4 years old, enrolled in firstyear (359), second year (316), and third year (233) at different higher education institutions in Chile filled the Perception of Physical Education Degree Scale. Results: Significant differences were found comparing private and public universities (private institutions showing more favorable perceptions) in university management (p=.000) and students' protests (p=.000); on the other hand, it can also be emphasized that students perceive that they need to know study techniques, especially students from municipal schools (p=.049) in relation to private institutions. As a conclusion, the most relevant institutional perception of students of pedagogy in physical education regards academic management. Future research with other variables and longitudinal character is necessary.</t>
  </si>
  <si>
    <t>Valdés-Montecinos, Michel/AAV-3311-2021; Aedo-Muñoz, Esteban/R-5623-2019; Zavala, Juan/J-4625-2016</t>
  </si>
  <si>
    <t>WOS:000535742500047</t>
  </si>
  <si>
    <t>López, V; Benbenishty, R; Astor, RA; Bilbao, M; Ascorra, P; Carrasco, C; Refaeli, T; Roziner, I</t>
  </si>
  <si>
    <t>Lopez, Veronica; Benbenishty, Rami; Astor, Ron Avi; Bilbao, Marian; Ascorra, Paula; Carrasco, Claudia; Refaeli, Tehila; Roziner, Ilan</t>
  </si>
  <si>
    <t>Cross-Cultural Patterns of Student Victimization in Israel and Chile</t>
  </si>
  <si>
    <t>School violence is a global concern that calls for international research using cross context methods. Although there are several international surveys that compare school violence across countries, they do not clearly address issues of similarities and differences in relative prevalence of different types of victimization and their relations with age, sex, and cultural group. We explored these questions among Israeli-Arab (n = 13,606), Israeli-Jewish (n = 10,637), and Chilean students in poor schools in a large Chilean city (n = 4557), using the same self-report questionnaire that measures verbal-social victimization, victimization by threats, physical victimization, and sexual harassment. As hypothesized, we found similarities in the patterns of relative prevalence of victimization types, as well as study group, sex, and age main effects and interactions. These effects were evident even when the lowest third SES group in Israel was compared with the Chilean students. These findings suggest group differences in prevalence of student victimization, and at the same time cultural invariance in relative prevalence of victimization types and their relations with sex and age. We discuss the need for more international comparative research in this field that takes into account cultural values and the structure and organizations of schools within the different educational systems.</t>
  </si>
  <si>
    <t>López, Verónica/IYS-2269-2023; Carrasco, Claudia/AAF-6848-2021; Benbenishty, Rami/JBS-0266-2023; Refaeli, Tehila/AGP-9922-2022; Bilbao, M. Angeles/K-8367-2014; Lopez, Veronica/K-5472-2014; Benbenishty, Rami/I-2340-2012</t>
  </si>
  <si>
    <t>Carrasco, Claudia/0000-0002-8768-2440; Bilbao, M. Angeles/0000-0002-5984-4908; Lopez, Veronica/0000-0001-7405-3859; Ascorra, Paula/0000-0001-9449-8273; Benbenishty, Rami/0000-0003-4041-9650</t>
  </si>
  <si>
    <t>10.1007/s10826-017-0930-2</t>
  </si>
  <si>
    <t>WOS:000426297700011</t>
  </si>
  <si>
    <t>Hidalgo-Hermoso, E; Cabello, J; Novoa-Lozano, I; Celis, S; Ortiz, C; Kemec, I; Lagos, R; Verasay, J; Mansell-Venegas, M; Moreira-Arce, D; Vergara, PM; Millán, J; Esperón, F</t>
  </si>
  <si>
    <t>Hidalgo-Hermoso, Ezequiel; Cabello, Javier; Novoa-Lozano, Ignacio; Celis, Sebastian; Ortiz, Carolina; Kemec, Ignacio; Lagos, Rocio; Verasay, Juan; Mansell-Venegas, Myra; Moreira-Arce, Dario; Vergara, Pablo M.; Millan, Javier; Esperon, Fernando</t>
  </si>
  <si>
    <t>MOLECULAR DETECTION AND CHARACTERIZATION OF HEMOPLASMAS IN THE PUDU (PUDU PUDA), A NATIVE CERVID FROM CHILE</t>
  </si>
  <si>
    <t>JOURNAL OF WILDLIFE DISEASES</t>
  </si>
  <si>
    <t>Hemotropic mycoplasmas cause hemolytic anemia in a variety of wild and domestic mammals. Despite growing evidence about their widespread presence and genetic diversity in wildlife, their presence has never been investigated in Chilean artiodactyls. We aimed to describe the presence and diversity of hemoplasmas in pudus (Pudu puda), a small cervid native to Chile. Hemoplasma infection was assessed in blood samples from 43 wild and 33 captive pudus from central and southern Chile by direct sequencing of the 16S rRNA gene. We detected hemoplasmas in 13%, with no statistical differences between wild (19%) and captive animals (6%). A sequence closely related to Mycoplasma ovis was present both in wild (14%) and captive (6%) pudus. Two previously undescribed sequences, classified in a clade including hemoplasmas from carnivores, were found in one wild pudu each. This study presents the first evidence of the presence of M. ovislike organisms in Chile and of the susceptibility of pudus to infection with hemoplasmas. Further research is needed to understand the pathologic consequences of this pathogen for pudus, its effects at the population level, and their potential impact on the health small ruminants and other wildlife species in Chile.</t>
  </si>
  <si>
    <t>Vergara, Pablo/F-2519-2010; Moreira-Arce, Dario/ABG-2898-2021; Hidalgo-Hermoso, Ezequiel/ABB-6056-2020; Millan, Javier/B-5399-2008; ESPERON, FERNANDO/T-7538-2017</t>
  </si>
  <si>
    <t>Millan, Javier/0000-0001-5608-781X; ESPERON, FERNANDO/0000-0002-8810-5071; Moreira Arce, Dario/0000-0002-1188-496X; Verasay Caviedes, Sebastian/0000-0003-0995-1227; Vergara, Pablo/0000-0002-0024-1678</t>
  </si>
  <si>
    <t>0090-3558</t>
  </si>
  <si>
    <t>1943-3700</t>
  </si>
  <si>
    <t>10.7589/JWD-D-21-00057</t>
  </si>
  <si>
    <t>WOS:000741812000002</t>
  </si>
  <si>
    <t>Barahona-Segovia, RM; Alaniz, AJ; Durán-Sanzana, V; Flores, EF; Gerstle, J; Montecinos-Ibarra, R; Pérez-Schultheiss, J; Rabanal, FE; Reyes, D; Ramos, V; Venegas-Díaz, C; Weymann, M; Smith-Ramírez, C; Araya, JF; Vergara, PM</t>
  </si>
  <si>
    <t>Barahona-Segovia, Rodrigo M.; Alaniz, Alberto J.; Duran-Sanzana, Vanessa; Flores Flores, Edgardo; Gerstle, Jose; Montecinos-Ibarra, Roque; Perez-Schultheiss, Jorge; Rabanal, Felipe E.; Reyes, Diego; Ramos, Varbara; Venegas-Diaz, Carola; Weymann, Michael; Smith-Ramirez, Cecilia; Francisco Araya, Juan; Vergara, Pablo M.</t>
  </si>
  <si>
    <t>Combining citizen science with spatial analysis at local and biogeographical scales for the conservation of a large-size endemic invertebrate in temperate forests</t>
  </si>
  <si>
    <t>FOREST ECOLOGY AND MANAGEMENT</t>
  </si>
  <si>
    <t>The ecology of leeches worldwide has been scarcely studied, with the ecology of Neotropical leeches remaining highly unknown. Americobdella valdiviana, an endemic, carnivorous, and giant leech that inhabits the Valdivian evergreen forest in southern Chile, an ecosystem that has experienced an increase in its net loss from 3.6% to 12% in the last decades due to various human activities. Here, we combined citizen science with species distribution models (SDM) to analyze (i) the effect of habitat variables with the abundance A. valdiviana, (ii) the distribution range, (iii) the habitat loss and fragmentation of A. valdiviana, and (iv) their conservation status. First, we asked each user or scientist for the observed relative abundance and a series of environmental variables, which were then correlated by using Generalized Linear Models. Then, distribution ranges were estimated using SDM, which was combined with multiannual forest cover maps to identify habitat loss and fragmentation between 2000 and 2018. Finally, we used IUCN criteria to evaluate the conservation status of this species. Abundance was related mainly to the canopy coverage, while suitability was positively associated to temperature seasonality and canopy cover. Suitability was higher in forests with levels of primary productivity. We found that the north and center zones of the species range experienced high habitat loss and fragmentation. Under IUCN Red List criteria, we qualified this species as endangered. Our results support that the combination of citizen science, SDM, and spatial analysis at local and biogeographical scales can inform conservation actions of poorly known and threatened macroinvertebrate fauna.</t>
  </si>
  <si>
    <t>Reyes, Diego/JDV-8536-2023; Alaniz, Alberto/J-3104-2019; Araya, Juan Francisco/N-4942-2017; Vergara, Pablo/F-2519-2010</t>
  </si>
  <si>
    <t>Perez-Schultheiss, Jorge/0000-0003-4537-5677; Alaniz, Alberto J./0000-0003-4878-8848; RABANAL, FELIPE/0000-0002-7236-9451; Vergara, Pablo/0000-0002-0024-1678</t>
  </si>
  <si>
    <t>0378-1127</t>
  </si>
  <si>
    <t>1872-7042</t>
  </si>
  <si>
    <t>10.1016/j.foreco.2021.119519</t>
  </si>
  <si>
    <t>WOS:000684973100001</t>
  </si>
  <si>
    <t>Peña, C; Rojas-Vallejos, J; Espinoza, M; Donoso, J; Soto, P; Cardemil, D; Aranda, S; Contreras, C; Vergara, CG; La Rocca, G; Osorio, R; López-Vidal, H; Chandía, M; Rojas, C</t>
  </si>
  <si>
    <t>Pena, Camila; Rojas-Vallejos, Jorge; Espinoza, Marcela; Donoso, Javiera; Soto, Pablo; Cardemil, Daniela; Aranda, Sandra; Contreras, Carolina; Gloria Vergara, Carmen; La Rocca, Gabriel; Osorio, Rocio; Lopez-Vidal, Hernan; Chandia, Mauricio; Rojas, Christine</t>
  </si>
  <si>
    <t>Response rates to first-line treatment in eligible patients to autologous stem transplantation in Chile</t>
  </si>
  <si>
    <t>Background: The treatment of choice of newly diagnosed multiple myeloma (NDMM) is an induction with proteasome inhibitors followed autologous stem cell transplantation (HSCT). Since 2013, the treatment of these patients in the public system is based on CTD (cyclophosphamide, thalidomide, and dexamethasone). Aim: To evaluate the response rates achieved with CTD, and the results of HSCT in patients with NDMM in the public setting. Material and Methods: Data from patients considered as candidates for HSCT from different centers of the National Adult Antineoplastic Drug Program (PANDA, for its acronym in Spanish), diagnosed between 2013 and 2017, was analyzed. The response to treatment of first and second lines of treatment was evaluated, in addition to the results of HSCT. An optimal Response was defined as the sum of strict complete remission, complete remission and very good partial response (sCR, CR and VGPR). Results: One hundred and seventy-seven patients were analyzed, 54% women, and 53% with IgG multiple myeloma. Information about the international staging system was retrieved in 127 patients (71%). Seventeen percent were ISS I, 22% in ISS II and 32% ISS III. CTD was used as first treatment in 106 patients (60%), and cyclophosphamide, bortezomib and dexamethasone (CyBorD) in 13 (7%). As first line, CTD had an overall response of 50.9%, and CyBorD of 76.9%. Thirty patients were treated with bortezomib as second line treatment. Forty patients (22%) underwent HSCT. The 5-year Overall Survival (OS) in transplanted patients and non-transplanted patients was 100 and 62% respectively (p &lt; 0.01). Conclusions: The response rate achieved by CTD in these patients is suboptimal. The response to CyBorD was better.</t>
  </si>
  <si>
    <t>Chandia, Mauricio/KWU-5113-2024; Rojas-Vallejos, Jorge/X-8693-2019</t>
  </si>
  <si>
    <t>Rojas-Vallejos, Jorge/0000-0002-5939-3035; Espinoza, Marcela/0000-0001-9291-646X</t>
  </si>
  <si>
    <t>WOS:000518385200008</t>
  </si>
  <si>
    <t>Mamontov, V; Martynov, A; Morozova, N; Bukatin, A; Staroverov, DB; Lukyanov, KA; Ispolatov, Y; Semenova, E; Severinov, K</t>
  </si>
  <si>
    <t>Mamontov, Viktor; Martynov, Alexander; Morozova, Natalia; Bukatin, Anton; Staroverov, Dmitry B.; Lukyanov, Konstantin A.; Ispolatov, Yaroslav; Semenova, Ekaterina; Severinov, Konstantin</t>
  </si>
  <si>
    <t>Persistence of plasmids targeted by CRISPR interference in bacterial populations</t>
  </si>
  <si>
    <t>CRISPR-Cas systems provide prokaryotes with an RNA-guided defense against foreign mobile genetic elements (MGEs) such as plasmids and viruses. A common mechanism by which MGEs avoid interference by CRISPR consists of acquisition of escape mutations in regions targeted by CRISPR. Here, using microbiological, live microscopy and microfluidics analyses we demonstrate that plasmids can persist for multiple generations in some Escherichia coli cell lineages at conditions of continuous targeting by the type I-E CRISPR-Cas system. We used mathematical modeling to show how plasmid persistence in a subpopulation of cells mounting CRISPR interference is achieved due to the stochastic nature of CRISPR interference and plasmid replication events. We hypothesize that the observed complex dynamics provides bacterial populations with long-term benefits due to continuous maintenance of mobile genetic elements in some cells, which leads to diversification of phenotypes in the entire community and allows rapid changes in the population structure to meet the demands of a changing environment.</t>
  </si>
  <si>
    <t>Staroverov, Dmitry/AAN-7359-2020; Severinov, Konstantin/C-8545-2016; Morozova, Natalia/A-7955-2014; Mamontov, Viktor/GNP-2381-2022; Bukatin, Anton/E-4255-2014; Martynov, Alexander/H-4309-2017; Ispolatov, Iaroslav/E-8544-2010; Lukyanov, Konstantin/D-4030-2013</t>
  </si>
  <si>
    <t>Bukatin, Anton/0000-0002-5459-1438; Mamontov, Viktor/0000-0003-3038-0588; Martynov, Alexander/0000-0003-1845-5209; Ispolatov, Iaroslav/0000-0002-0201-3396; Semenova, Ekaterina/0000-0001-6816-8879; Lukyanov, Konstantin/0000-0001-9845-2088</t>
  </si>
  <si>
    <t>e2114905119</t>
  </si>
  <si>
    <t>10.1073/pnas.2114905119</t>
  </si>
  <si>
    <t>WOS:000789367500001</t>
  </si>
  <si>
    <t>Delgado, LE; Zorondo-Rodríguez, F; Bachmann-Vargas, P; Soto, C; Foucat, VSA; Gutierrez, RA; Muñoz-Barriga, A; Ferreiro, OE</t>
  </si>
  <si>
    <t>Delgado, LE; Marin, VH</t>
  </si>
  <si>
    <t>Delgado, Luisa E.; Zorondo-Rodriguez, Francisco; Bachmann-Vargas, Pamela; Soto, Carmina; Avila Foucat, Veronique S.; Gutierrez, Ricardo A.; Munoz-Barriga, Andrea; Ferreiro, Oscar E.</t>
  </si>
  <si>
    <t>A New Environmental Governance</t>
  </si>
  <si>
    <t>SOCIAL-ECOLOGICAL SYSTEMS OF LATIN AMERICA: COMPLEXITIES AND CHALLENGES</t>
  </si>
  <si>
    <t>At present, there is no unified theoretical framework to deal with environmental governance issues. Consequently, there is a diversity of interpretations of the concept at the public-political arena both nationally and internationally. Recent Latin American efforts have given a step forward conceptualizing environmental governance from the South and systematizing experiences to illustrate a diverse contemporaneous reality. At a regional scale, within the last decades, discursive turns in national policies such as the introduction of the sustainable development concept have triggered an increase in studies and applications of environmental governance (e.g., forest's governance, climate change, marine coastal zones) including the use of the ecosystem services concept. The instrumentation of public actions in relation to environmental governance derives from the states. However, if analyzed with a beyond-the-States view, governance can be understood as a process involving the participation of governmental and non-governmental actors reaching decisions, for mutual benefits, through negotiation processes. However, there is not, still, within the countries of the region, inclusive and participative governance oriented toward the sustainable use of natural resources. Although there are many challenges, in this chapter we discuss two of them: (1) to build an analytical framework to understand the environmental governance modes currently available in Latin America and (2) to generate a new sociopolitical interdisciplinary framework involving both natural and sociopolitical systems as a contribution to a new analytical framework for environmental governance. In other words, new environmental governance for Latin America.</t>
  </si>
  <si>
    <t>Zorondo-Rodríguez, Francisco/GWU-8371-2022; Zorondo-Rodriguez, Francisco/I-8273-2014</t>
  </si>
  <si>
    <t>978-3-030-28452-7; 978-3-030-28451-0</t>
  </si>
  <si>
    <t>10.1007/978-3-030-28452-7_7</t>
  </si>
  <si>
    <t>10.1007/978-3-030-28452-7</t>
  </si>
  <si>
    <t>WOS:000631257800008</t>
  </si>
  <si>
    <t>Despeisse, M; Baumers, M; Brown, P; Charnley, F; Ford, SJ; Garmulewicz, A; Knowles, S; Minshall, THW; Mortara, L; Reed-Tsochas, FP; Rowley, J</t>
  </si>
  <si>
    <t>Despeisse, M.; Baumers, M.; Brown, P.; Charnley, F.; Ford, S. J.; Garmulewicz, A.; Knowles, S.; Minshall, T. H. W.; Mortara, L.; Reed-Tsochas, F. P.; Rowley, J.</t>
  </si>
  <si>
    <t>Unlocking value for a circular economy through 3D printing: A research agenda</t>
  </si>
  <si>
    <t>TECHNOLOGICAL FORECASTING AND SOCIAL CHANGE</t>
  </si>
  <si>
    <t>The circular economy (CE) aims to radically improve resource efficiency by eliminating the concept of waste and leading to a shift away from the linear take-make-waste model. In a CE, resources are flowing in a circular manner either in a biocycle (biomass) or technocycle (inorganic materials). While early studies indicate that 3D printing (3DP) holds substantial promise for sustainability and the creation of a CE, there is no guarantee that it will do so. There is great uncertainty regarding whether the current trajectory of 3DP adoption is creating more circular material flows or if it is leading to an alternative scenario in which less eco-efficient localised production, demands for customised goods, and a higher rate of product obsolescence combine to bring about increased resource consumption. It is critical that CE principles are embedded into the new manufacturing system before the adoption of 3DP reaches a critical inflection point in which negative practices become entrenched. This paper, authored by both academic and industry experts, proposes a research agenda to determine enablers and barriers for 3DP to achieve a CE. We explore the two following overarching questions to discover what specific issues they entail: (1) How can a more distributed manufacturing system based on 3DP create a circular economy of closed-loop material flows? (2) What are the barriers to a circular 3D printing economy? We specifically examine six areas design, supply chains, information flows, entrepreneurship, business models and education with the aim of formulating a research agenda to enable 3DP to reach its full potential for a CE. Crown Copyright (C) 2016 Published by Elsevier Inc. All rights reserved.</t>
  </si>
  <si>
    <t>Ford, Simon/Y-2141-2019; Garmulewicz, Alysia/HTS-8792-2023; Despeisse, Mélanie/AAO-6355-2021; ReedTsochas, Felix/KHW-1602-2024; Ford, Simon/I-3059-2012; Mortara, Letizia/I-5321-2012</t>
  </si>
  <si>
    <t>Ford, Simon/0000-0002-6124-9497; Reed-Tsochas, Felix/0000-0001-7923-750X; Charnley, Fiona/0000-0001-5533-5375; Despeisse, Melanie/0000-0002-1772-3884; Mortara, Letizia/0000-0003-0461-5339; Garmulewicz, Alysia/0000-0001-8468-5809</t>
  </si>
  <si>
    <t>0040-1625</t>
  </si>
  <si>
    <t>1873-5509</t>
  </si>
  <si>
    <t>10.1016/j.techfore.2016.09.021</t>
  </si>
  <si>
    <t>WOS:000393347100007</t>
  </si>
  <si>
    <t>Cerpa, VJ; Aylwin, MDO; Beltrán-Castillo, S; Bravo, EU; Llona, IR; Richerson, GB; Eugenín, JL</t>
  </si>
  <si>
    <t>Cerpa, Veronica J.; Aylwin, Maria de la Luz O.; Beltran-Castillo, Sebastian; Bravo, Eduardo U.; Llona, Isabel R.; Richerson, George B.; Eugenin, Jaime L.</t>
  </si>
  <si>
    <t>The Alteration of Neonatal Raphe Neurons by Prenatal-Perinatal Nicotine Meaning for Sudden Infant Death Syndrome</t>
  </si>
  <si>
    <t>AMERICAN JOURNAL OF RESPIRATORY CELL AND MOLECULAR BIOLOGY</t>
  </si>
  <si>
    <t>Nicotine may link maternal cigarette smoking with respiratory dysfunctions in sudden infant death syndrome (SIDS). Prenatal-perinatal nicotine exposure blunts ventilatory responses to hypercapnia and reduces central respiratory chemoreception in mouse neonates at Postnatal Days 0 (P0) to P3. This suggests that raphe neurons, which are altered in SIDS and contribute to central respiratory chemoreception, may be affected by nicotine. We therefore investigated whether prenatal-perinatal nicotine exposure affects the activity, electrical properties, and chemosensitivity of raphe obscurus (ROb) neurons in mouse neonates. Osmotic minipumps, implanted subcutaneously in 5- to 7-day-pregnant CF1 mice, delivered nicotine bitartrate (60 mg kg(-1) d(-1)) or saline (control) for up to 28 days. In neonates, ventilation was recorded by head-out plethysmography, c-Fos (neuronal activity marker), or serotonin autoreceptors (5HT(1A)R) were immunodetected using light microscopy, and patch-clamp recordings were made from raphe neurons in brainstem slices under normocarbia and hypercarbia. Prenatal-perinatal nicotine exposure decreased the hypercarbia-induced ventilatory responses at P1-P5, reduced both the number of c-Fos-positive ROb neurons during eucapnic normoxia at P1-P3 and their hypercapnia-induced recruitment at P3, increased 5HT(1A)R immunolabeling of ROb neurons at P3-P5, and reduced the spontaneous firing frequency of ROb neurons at P3 without affecting their CO2 sensitivity or their passive and active electrical properties. These findings reveal that prenatal-perinatal nicotine reduces the activity of neonatal ROb neurons, likely as a consequence of increased expression of 5HT(1A)Rs. This hypoactivity may change the functional state of the respiratory neural network leading to breathing vulnerability and chemosensory failure as seen in SIDS.</t>
  </si>
  <si>
    <t>Beltran Castillo, Sebastian/AAT-2028-2021</t>
  </si>
  <si>
    <t>Bravo, Eduardo/0000-0001-9209-841X; Richerson, George/0000-0001-5696-1554; Beltran-Castillo, Sebastian/0000-0003-4550-6323</t>
  </si>
  <si>
    <t>1044-1549</t>
  </si>
  <si>
    <t>1535-4989</t>
  </si>
  <si>
    <t>10.1165/rcmb.2014-0329OC</t>
  </si>
  <si>
    <t>WOS:000367442400007</t>
  </si>
  <si>
    <t>Gobbi, M; Funicello, M; Gerstbrein, K; Holy, M; Moya, PR; Sotomayor, R; Forray, MI; Gysling, K; Paluzzi, S; Bonanno, G; Reyes-Parada, M; Sitte, HH; Mennini, T</t>
  </si>
  <si>
    <t>Gobbi, Marco; Funicello, Marcella; Gerstbrein, Klaus; Holy, Marion; Moya, Pablo R.; Sotomayor, Ramon; Forray, Maria Ines; Gysling, Katia; Paluzzi, Silvio; Bonanno, Giambattista; Reyes-Parada, Miguel; Sitte, Harald H.; Mennini, Tiziana</t>
  </si>
  <si>
    <t>N,N-dimethyl-thioamphetamine and methyl-thioamphetamine, two non-neurotoxic substrates of 5-HT transporters, have scant in vitro efficacy for the induction of transporter-mediated 5-HT release and currents</t>
  </si>
  <si>
    <t>We studied two non-neurotoxic amphetamine derivatives (methyl-thioamphetamine, MTA and NN-dimethylMTA, DMMTA) interacting with serotonin (5-HT) transporters (SERTs) with affinities comparable to that of p-Cl-amphetamine (pCA). The rank order for their maximal effects in inducing both [H-3]5-HT release from rat brain synaptosomes or hSERT-expressing HEK-293 cells, and currents in hSERT-expressing oocytes, was pCA &gt;&gt; MTA &gt;= DMMTA. A correlation between drug-induced release and currents is also strengthened by the similar bell shape of the dose-response curves. Release experiments indicated that MTA and DMMTA are SERT substrates although MTA is taken up by HEK-293 cells with a V-max 40% lower than pCA. The weak effects of MTA and DMMTA in vitro might therefore be due to their properties as 'partial substrates' on the mechanisms, other than translocation, responsible for currents and/or release. After either local or systemic in vivo administration, MTA and DMMTA release 5-HT in a manner comparable to pCA. These findings confirm that the neurotoxic properties of some amphetamine derivatives are independent of their 5-HT-releasing activity in vivo. It is worth noting that only those amphetamine derivatives with high efficiency in inducing 5-HT release and currents in vitro have neurotoxic properties.</t>
  </si>
  <si>
    <t>Bonanno, Giambattista/C-5856-2008; Moya, Pablo/HTZ-1393-2023; Sitte, Harald/N-2681-2013; Gobbi, Marco/J-2638-2016</t>
  </si>
  <si>
    <t>Sitte, Harald/0000-0002-1339-7444; Moya, Pablo/0000-0001-6409-1544; Bonanno, Giambattista/0000-0003-3744-5786; Sotomayor-Zarate, Ramon/0000-0002-1239-5367; Gobbi, Marco/0000-0003-1014-6225</t>
  </si>
  <si>
    <t>10.1111/j.1471-4159.2008.05272.x</t>
  </si>
  <si>
    <t>WOS:000255835000018</t>
  </si>
  <si>
    <t>Sajadian, SA; Bagheri, H; Gurikov, P; Rojas, A; Esfandiari, N; Jouyban, A</t>
  </si>
  <si>
    <t>Sajadian, Seyed Ali; Bagheri, Hamidreza; Gurikov, Pavel; Rojas, Adrian; Esfandiari, Nadia; Jouyban, Abolghasem</t>
  </si>
  <si>
    <t>Solubility Measurement and Correlation of Alprazolam in Carbon Dioxide with/without Ethanol at Temperatures from 308 to 338 K and Pressures from 120 to 300 bar</t>
  </si>
  <si>
    <t>This research investigated the solubility of alprazolam in supercritical carbon dioxide (scCO(2)) with the addition of ethanol as a cosolvent. The solubility was examined at various pressures (ranging from 120 to 300 bar) and temperatures (ranging from 308 to 338 K). The solubility of alprazolam in scCO(2) ranged from 0.027 x 10(-4) to 0.632 x 10(-4). When ethanol was used as a cosolvent, the solubility increased to a range of 0.157 x 10(-4) to 1.660 x 10(-4) (with 1 mol % ethanol) and 0.449 x 10(-4) to 3.167 x 10(-4) (with 3 mol % ethanol). Under the specified operating parameters, the highest solubility of alprazolam was achieved in the ternary system (with 3 mol % ethanol) at 120 bar and 338 K. This solubility was 16.63 times higher than when using pure scCO(2 )under the same circumstances. Several semiempirical correlations were used to compute the solubility of alprazolam in supercritical carbon dioxide. These models yielded similar average absolute relative deviations ranging from 7.0 to 8.40%. The findings demonstrated the superiority of the Kumar-Johnston model in binary systems (with an average absolute relative deviation of 7.0%) and the Garlapati-Madras model in ternary systems (with an average absolute relative deviation of 6.19%) compared to alternative models.</t>
  </si>
  <si>
    <t>Bagheri, Hamidreza/AAZ-6276-2020; Sajadian, Seyedali/HJP-8942-2023; Gurikov, Pavel/J-1967-2019; Rojas, Adrián/AAR-9441-2021; Jouyban, Abolghasem/ABB-7335-2020; Esfandiari, Nadia/AAX-8035-2021; Jouyban, Abolghasem/M-4766-2017</t>
  </si>
  <si>
    <t>Esfandiari, Nadia/0000-0003-3071-7291; Jouyban, Abolghasem/0000-0002-4670-2783; Bagheri, Hamidreza/0000-0002-1915-6377; sajadian, seyed ali/0000-0002-8942-0559; Rojas, Adrian/0000-0001-9253-1295</t>
  </si>
  <si>
    <t>MAR 28</t>
  </si>
  <si>
    <t>10.1021/acs.jced.3c00587</t>
  </si>
  <si>
    <t>WOS:001193719300001</t>
  </si>
  <si>
    <t>Kobayashi, S; Maldonado, JE; Gaete, A; Araya, I; Aguado-Norese, C; Cumplido, N; Díaz, S; Espinoza, A; Fernández, E; Gajardo, F; González-Ordenes, F; Hauyon, K; Maldonado, P; Maldonado, R; Pochet, I; Riveros, A; Sandoval, P; Sepúlveda-González, A; Stuardo, C; Tapia-Reyes, P; Thornton, C; Undurraga, S; Varas, M; Valdivieso, C; Gutiérrez, RA; Orellana, A; Montecino, M; Maass, A; González, M; Allende, ML; Hodar, C; Irles, P</t>
  </si>
  <si>
    <t>Kobayashi, Sanae; Maldonado, Jonathan; Gaete, Alexis; Araya, Ingrid; Aguado-Norese, Constanza; Cumplido, Nicolas; Diaz, Sebastian; Espinoza, Alonso; Fernandez, Edelmira; Gajardo, Felipe; Gonzalez-Ordenes, Felipe; Hauyon, Khantati; Maldonado, Piedad; Maldonado, Rodrigo; Pochet, Isabel; Riveros, Anibal; Sandoval, Paula; Sepulveda-Gonzalez, Ailynne; Stuardo, Camila; Tapia-Reyes, Patricio; Thornton, Carolina; Undurraga, Soledad; Varas, Macarena A.; Valdivieso, Camilo; Gutierrez, Rodrigo A.; Orellana, Ariel; Montecino, Martin L.; Maass, Alejandro; Gonzalez, Mauricio; Allende, Miguel; Hodar, Christian; Irles, Paula</t>
  </si>
  <si>
    <t>School Earwig Genome Consortium</t>
  </si>
  <si>
    <t>DNA sequencing in the classroom: complete genome sequence of two earwig (Dermaptera; Insecta) species</t>
  </si>
  <si>
    <t>BackgroundDespite representing the largest fraction of animal life, the number of insect species whose genome has been sequenced is barely in the hundreds. The order Dermaptera (the earwigs) suffers from a lack of genomic information despite its unique position as one of the basally derived insect groups and its importance in agroecosystems. As part of a national educational and outreach program in genomics, a plan was formulated to engage the participation of high school students in a genome sequencing project. Students from twelve schools across Chile were instructed to capture earwig specimens in their geographical area, to identify them and to provide material for genome sequencing to be carried out by themselves in their schools.ResultsThe school students collected specimens from two cosmopolitan earwig species: Euborellia annulipes (Fam. Anisolabididae) and Forficula auricularia (Fam. Forficulidae). Genomic DNA was extracted and, with the help of scientific teams that traveled to the schools, was sequenced using nanopore sequencers. The sequence data obtained for both species was assembled and annotated. We obtained genome sizes of 1.18 Gb (F. auricularia) and 0.94 Gb (E. annulipes) with the number of predicted protein coding genes being 31,800 and 40,000, respectively. Our analysis showed that we were able to capture a high percentage (&gt;= 93%) of conserved proteins indicating genomes that are useful for comparative and functional analysis. We were also able to characterize structural elements such as repetitive sequences and non-coding RNA genes. Finally, functional categories of genes that are overrepresented in each species suggest important differences in the process underlying the formation of germ cells, and modes of reproduction between them, features that are one of the distinguishing biological properties that characterize these two distant families of Dermaptera.ConclusionsThis work represents an unprecedented instance where the scientific and lay community have come together to collaborate in a genome sequencing project. The versatility and accessibility of nanopore sequencers was key to the success of the initiative. We were able to obtain full genome sequences of two important and widely distributed species of insects which had not been analyzed at this level previously. The data made available by the project should illuminate future studies on the Dermaptera.</t>
  </si>
  <si>
    <t>Hodar, Christian/M-2849-2019; Gutierrez, Rodrigo/ABA-9285-2020; Irles, Paula/IYJ-8814-2023; Cumplido, Nicolas/HTR-5881-2023; Tapia, Patricio/HLG-7846-2023; Gonzalez, Mauricio/I-2772-2013; Maldonado, Rodrigo/AAA-2438-2020; Espinoza, Alonso/JUU-9600-2023; Orellana, Ariel/E-2166-2014; Maldonado Soto, Jonathan Elias/J-6429-2012; Maass, Alejandro/D-5848-2012</t>
  </si>
  <si>
    <t>Kobayashi Andrade, Sanae/0009-0004-0694-1343; Maldonado, Rodrigo/0000-0002-8326-9800; Tapia-Reyes, Patricio/0000-0001-8797-6206; Gaete, Alexis/0000-0001-9132-231X; Montecino, Martin/0000-0002-6025-0023; Orellana, Ariel/0000-0002-9243-808X; Maldonado Soto, Jonathan Elias/0000-0002-9967-0885; Zepeda Negrete, Amalia Ignacia/0009-0007-1256-7417; Maass, Alejandro/0000-0002-7038-4527; Espinoza Rojas, Alonso/0009-0009-4643-5003; Araya, Ingrid/0000-0002-8470-5248; Acevedo, Milovan/0009-0004-2222-896X</t>
  </si>
  <si>
    <t>10.1186/s40659-023-00414-9</t>
  </si>
  <si>
    <t>WOS:000935884400001</t>
  </si>
  <si>
    <t>Marconcin, P; Ihle, A; Ferrari, G; Gouveia, ER; Peralta, M; Santos, T; Marques, A</t>
  </si>
  <si>
    <t>Marconcin, Priscila; Ihle, Andreas; Ferrari, Gerson; Gouveia, Elvio R.; Peralta, Miguel; Santos, Thiago; Marques, Adilson</t>
  </si>
  <si>
    <t>The effect of changes in physical activity behaviour on depressive symptoms among European older adults</t>
  </si>
  <si>
    <t>Purpose. Physical activity is associated with lower odds of depression symptoms among older adults. However, little is known about the effect of changing physical activity behaviour on depressive symptoms. The present study aimed to analyse the effects of changing physical activity trajectory on depressive symptoms in older people. Methods. Data from the Survey of Health, Ageing and Retirement in Europe wave 5 and wave 6 were analysed. The EURO-D 12 -item scale measured depressive symptoms, and physical activity (of moderate and vigorous intensity) was self -reported. Multivariate binary logistic regressions were conducted to assess the association between physical activity and depression symptoms. Results. The study involved 6431 participants (mean age: 72.7 years). Moderate and vigorous physical activity was significantly associated with lower odds of depression symptoms in men and women. Moderate physical activity, performed once a week (men: OR = 0.31, 95% CI: 0.21-0.45; women: OR = 0.67, 95% CI: 0.54-0.84) and more than once a week (men: OR = 0.41, 95% CI: 0.32-0.52; women: OR = 0.56, 95% CI: 0.47-0.66), decreased the odds of having depression compared with remaining less active. Similar results were seen for vigorous physical activity in both men and women. Conclusions. Moderate -to -vigorous physical activity, undertaken at least once a week, is a safe and feasible behaviour to deal with depressive symptoms among older adults.</t>
  </si>
  <si>
    <t>Marques, Adilson/K-4529-2014; Ferrari, Gerson/HHM-6173-2022; Gouveia, Elvio/F-9156-2015; Marconcin, Priscila/GRO-2708-2022; Peralta, Miguel/H-1666-2017; Santos, Thiago/H-7065-2016</t>
  </si>
  <si>
    <t>Marconcin, Priscila/0000-0002-1295-0826; Peralta, Miguel/0000-0001-6072-6012; Santos, Thiago/0000-0002-4191-7064; Ihle, Andreas/0000-0001-9845-5190</t>
  </si>
  <si>
    <t>10.5114/hm.2023.115037</t>
  </si>
  <si>
    <t>WOS:001207492200011</t>
  </si>
  <si>
    <t>Gheisari, M; Yaraziz, MS; Alzubi, JA; Fernandez-Campusano, C; Feylizadeh, MR; Pirasteh, S; Abbasi, AA; Liu, Y; Lee, CC</t>
  </si>
  <si>
    <t>Gheisari, Mehdi; Yaraziz, Mahdi Safaei; Alzubi, Jafar A.; Fernandez-Campusano, Christian; Feylizadeh, Mohammad Reza; Pirasteh, Saied; Abbasi, Aaqif Afzaal; Liu, Yang; Lee, Cheng-Chi</t>
  </si>
  <si>
    <t>An efficient cluster head selection for wireless sensor network-based smart agriculture systems</t>
  </si>
  <si>
    <t>COMPUTERS AND ELECTRONICS IN AGRICULTURE</t>
  </si>
  <si>
    <t>With the increasing availability of high-resolution satellite and drone images and the Internet of Things (IoT) has begun transforming remote sensing of agriculture by improving accessibility and frequency of updates. Modern IoT-based smart agriculture systems use Wireless Sensor Networks (WSNs) to gather information from an ecosystem that regulates the quantity of water in agricultural fields could be one of these activities. The WSNs remained a challenge to transfer data to drones for analysis purposes. These are composed of tiny sensory architectures organized together to bring efficiency and scalability features to a network. WSN nodes are controlled and managed by a cluster. It is quite difficult to design an efficient leader election protocol. The computation power, storage space, and energy supply of sensor nodes make them unable to frequently switch to a different cluster. The WSN cluster-head election process requires a lot of energy (evaluation and computational process to select the most appropriate node with the least impact on network fragmentation in energy consumption of selected node). Then it is necessary to formulate a mechanism where WSNs utilize the least energy to coordinate with the remote sensing sources. This study presents a cluster election algorithm using the fuzzy logic inference system. It uses a coordinates system to map network nodes and map them based on prioritized scheduling. Lifetime augmentation in wireless sensor networks has always been of great interest. During data transmission from normal sensor nodes to the base station (sink), excess energy is dissipated. Optimizing the energy dissipation of WSNs through the selection of cluster heads is a powerful way to increase the lifespan. By electing more efficient nodes as cluster heads, the proposed method extends the network's lifetime by reducing the number of unimportant communications between nodes. With the utilization of network resources efficiently, the network's lifetime is extended. The proposed algorithm is evaluated with the LEACH (Low Energy Adaptive Clustering Structure) algorithm and FCA method based on the remaining energy and the number of active nodes. The simulation results show that the proposed algorithm utilizes less energy for communication with remote sensory equipment for intelligent agriculture. The performance of the method improved for remaining energy by 9%, the number of active nodes rate by 24%, and indirectly network resource utilization than other states of the art solutions.</t>
  </si>
  <si>
    <t>Alzubi, Jafar/G-7623-2017; Fernández-Campusano, Christian/M-8749-2018; Feylizadeh, Mohammad/ABC-5440-2021; Lee, Cheng-Chi/AGH-0724-2022; Liu, Yang/D-2306-2013; Gheisari, Mehdi/Y-4681-2018; Lee, Cheng-Chi/J-4185-2016</t>
  </si>
  <si>
    <t>Safaei Yaraziz, Mahdi/0000-0002-1675-3619; /0000-0002-9982-1321; Liu, Yang/0000-0003-2486-5765; Fernandez-Campusano, Christian/0000-0001-7033-4178; Gheisari, Mehdi/0000-0002-5643-0021; Lee, Cheng-Chi/0000-0002-8918-1703</t>
  </si>
  <si>
    <t>0168-1699</t>
  </si>
  <si>
    <t>1872-7107</t>
  </si>
  <si>
    <t>10.1016/j.compag.2022.107105</t>
  </si>
  <si>
    <t>WOS:000818589000003</t>
  </si>
  <si>
    <t>Calderón, R; Albornoz, F; Jara, C; Palma, P; Arancibia-Miranda, N; Manquián-Cerda, K; Herrera, C; Urrutia, J; Gamboa, C; Karthikraj, R; Muñiz-Valencia, R; Aguilar, BR</t>
  </si>
  <si>
    <t>Calderon, Raul; Albornoz, Francisco; Jara, Camila; Palma, Paulina; Arancibia-Miranda, Nicolas; Manquian-Cerda, Karen; Herrera, Christian; Urrutia, Javier; Gamboa, Carolina; Karthikraj, Rajendiran; Muniz-Valencia, Roberto; Aguilar, Brian Rodriguez</t>
  </si>
  <si>
    <t>Exploring the uptake, accumulation, and distribution of nitrate in Swiss chard and spinach and their impact on food safety and human health</t>
  </si>
  <si>
    <t>Greenhouse vegetable production is often associated with the excessive use of nitrogen fertilizers and a high rate of nitrate accumulation. We evaluated the uptake, translocation, and accumulation of nitrate in chard and spinach under greenhouse conditions with optimal fertilization. The results revealed low levels of nitrate in the leachates and substrates (chard &gt; spinach). The high nitrate concentrations in the root zone of spinach compared to those of chard were correlated with a high rate of accumulation in the stem, aerial fraction, and leaves (p &lt; 0.0001). The nitrate concentration in spinach exceeded the limit established by international regulations by 3-fold. The daily intake of nitrate exceeded the acceptable daily intake (ADI) value in almost all age groups (except 13-19 years). However, in the age group of 1-2 years, the daily intake value (7.87 mg NO3- kg(-1)) was two times higher than the ADI. To improve the quality of food for children, food contamination monitoring programs must ensure adherence to production standards.</t>
  </si>
  <si>
    <t>Calderon, Raul/AAP-5930-2020; Arancibia-Miranda, Nicolás/I-6743-2013; Albornoz, Francisco/I-6171-2016</t>
  </si>
  <si>
    <t>10.1016/j.foodchem.2024.142345</t>
  </si>
  <si>
    <t>WOS:001386095200001</t>
  </si>
  <si>
    <t>Youngblood, A; Roberge, A; MacGregor, MA; Brandeker, A; Weinberger, AJ; Pérez, S; Grady, C; Welsh, B</t>
  </si>
  <si>
    <t>Youngblood, Allison; Roberge, Aki; MacGregor, Meredith A.; Brandeker, Alexis; Weinberger, Alycia J.; Perez, Sebastian; Grady, Carol; Welsh, Barry</t>
  </si>
  <si>
    <t>A Radiatively Driven Wind from the η Tel Debris Disk</t>
  </si>
  <si>
    <t>ASTRONOMICAL JOURNAL</t>
  </si>
  <si>
    <t>We present far- and near-ultraviolet absorption spectroscopy of the similar to 23 Myr edge-on debris disk surrounding the A0V star eta Telescopii, obtained with the Hubble Space Telescope Space Telescope Imaging Spectrograph. We detect absorption lines from C i, C ii, O i, Mg ii, Al ii, Si ii, S ii, Mn ii, Fe ii, and marginally N i. The lines show two clear absorption components at -22.7 +/- 0.5 km s(-1) and -17.8 +/- 0.7 km s(-1), which we attribute to circumstellar (CS) and interstellar gas, respectively. CO absorption is not detected, and we find no evidence for star-grazing exocomets. The CS absorption components are blueshifted by -16.9 +/- 2.6 km s(-1) in the star's reference frame, indicating that they are outflowing in a radiatively driven disk wind. We find that the C/Fe ratio in the eta Tel CS gas is significantly higher than the solar ratio, as is the case in the beta Pic and 49 Cet debris disks. Unlike those disks, however, the measured C/O ratio in the eta Tel CS gas is consistent with the solar value. Our analysis shows that because eta Tel is an earlier type star than beta Pic and 49 Cet, with more substantial radiation pressure at the dominant C ii transitions, this species cannot bind the CS gas disk to the star as it does for beta Pic and 49 Cet, resulting in the disk wind.</t>
  </si>
  <si>
    <t>Pérez, Sebastián/AAS-5857-2020; Brandeker, Alexis/MIK-9669-2025; Roberge, Aki/D-2782-2012</t>
  </si>
  <si>
    <t>Roberge, Aki/0000-0002-2989-3725; Perez, Sebastian/0000-0003-2953-755X; MacGregor, Meredith/0000-0001-7891-8143; Weinberger, Alycia/0000-0001-6654-7859; Youngblood, Allison/0000-0002-1176-3391; Brandeker, Alexis/0000-0002-7201-7536</t>
  </si>
  <si>
    <t>0004-6256</t>
  </si>
  <si>
    <t>1538-3881</t>
  </si>
  <si>
    <t>10.3847/1538-3881/ac21d1</t>
  </si>
  <si>
    <t>WOS:000716745700001</t>
  </si>
  <si>
    <t>Pitre, JJ; Koziol, LB; Kruger, GH; Vollmer, A; Ophir, J; Ammann, JJ; Weitzel, WF; Bull, JL</t>
  </si>
  <si>
    <t>Pitre, John J., Jr.; Koziol, Leo B.; Kruger, Grant H.; Vollmer, Alan; Ophir, Jonathan; Ammann, Jean-Jacques; Weitzel, William F.; Bull, Joseph L.</t>
  </si>
  <si>
    <t>DESIGN AND TESTING OF A SINGLE-ELEMENT ULTRASOUND VISCOELASTOGRAPHY SYSTEM FOR POINT-OF-CARE EDEMA QUANTIFICATION</t>
  </si>
  <si>
    <t>ULTRASOUND IN MEDICINE AND BIOLOGY</t>
  </si>
  <si>
    <t>Management of fluid overload in patients with end-stage renal disease represents a unique challenge to clinical practice because of the lack of accurate and objective measurement methods. Currently, peripheral edema is subjectively assessed by palpation of the patient's extremities, ostensibly a qualitative indication of tissue viscoelastic properties. New robust quantitative estimates of tissue fluid content would allow clinicians to better guide treatment, minimizing reactive treatment decision making. Ultrasound viscoelastography (UVE) can be used to estimate strain in viscoelastic tissue, deriving material properties that can help guide treatment. We are developing and testing a simple, low-cost UVE system using a single-element imaging transducer that is simpler and less computationally demanding than array-based systems. This benchtop validation study tested the feasibility of using the UVE system by measuring the mechanical properties of a tissue-mimicking material under large strains. We generated depth-dependent creep curves and viscoelastic parameter maps of time constants and elastic moduli for the Kelvin model of viscoelasticity. During testing, the UVE system performed well, with mean UVE-measured strain matching standard mechanical testing with maximum absolute errors &lt;= 4%. Motion tracking revealed high correlation and signal-to-noise ratios, indicating that the system is reliable. (C) 2016 World Federation for Ultrasound in Medicine &amp; Biology.</t>
  </si>
  <si>
    <t>Bull, Joseph/0000-0003-4706-3167</t>
  </si>
  <si>
    <t>0301-5629</t>
  </si>
  <si>
    <t>1879-291X</t>
  </si>
  <si>
    <t>10.1016/j.ultrasmedbio.2016.04.013</t>
  </si>
  <si>
    <t>WOS:000388314000021</t>
  </si>
  <si>
    <t>Tramontina, DR; Deluigi, OR; Pinzón, R; Rojas-Nunez, J; Valencia, FJ; Pasianot, RC; Baltazar, SE; Gonzalez, RI; Bringa, EM</t>
  </si>
  <si>
    <t>Tramontina, D. R.; Deluigi, O. R.; Pinzon, R.; Rojas-Nunez, J.; Valencia, F. J.; Pasianot, R. C.; Baltazar, S. E.; Gonzalez, R. I.; Bringa, E. M.</t>
  </si>
  <si>
    <t>Probing radiation resistance in simulated metallic core-shell nanoparticles</t>
  </si>
  <si>
    <t>COMPUTATIONAL MATERIALS SCIENCE</t>
  </si>
  <si>
    <t>We present molecular dynamics (MD) simulations of radiation damage in Fe nanoparticles (NP) and bimetallic FeCu core-shell nanoparticles (CSNP). The CSNP includes a perfect body-centered cubic (bcc) Fe core coated with a face-centered cubic (fcc) Cu shell. Irradiation with Fe Primary Knock-on Atoms (PKA) with energies between 1 and 7 keV leads to point defects, without clustering beyond divacancies and very few slightly larger vacancy clusters, and without interstitial clusters, unlike what happens in bulk at the same PKA energies. The Fe-Cu interface and shell can act as a defect sink, absorbing radiation-induced damage and, therefore, the final number of defects in the Fe core is significantly lower than in the Fe NP. In addition, the Cu shell substantially diminishes the number of sputtered Fe atoms, acting as a barrier for recoil ejection. Structurally, the Cu shell responds to the stress generated by the collision cascade by creating and destroying stacking faults across the shell width, which could also accommodate further irradiation defects. We compare our MD results to Monte Carlo Binary Collision Approximation (BCA) simulations using the SRIM code, for the irradiation of an amorphous 3-layer thin film with a thickness equal to the CSNP diameter. BCA does not include defect recombination, so the number of Frenkel pairs is significantly higher than in MD, as expected. Sputtering yield (Y) is underestimated by BCA, which is also expected since the simulation is for a thin film at normal incidence. We also compare MD defect production to bulk predictions of the analytic Athermal Recombination Corrected Displacements Per Atom (arc-dpa) model. The number of vacancies in the Fe core is only slightly lower than arc-dpa predictions, but the number of interstitials is reduced by about one order of magnitude compared to vacancies, at 5 keV. According to the radiation resistance found for FeCu CSNP in our simulations, this class of nanomaterial could be suitable for developing new radiation-resistant coatings, nanostructured components, and shields for use in extreme environments, for instance, in nuclear energy and astrophysical applications.</t>
  </si>
  <si>
    <t>Valencia, Felipe/D-9223-2015; Bringa, Eduardo/F-8918-2011; Rojas, Javier/JYP-5531-2024; Tramontina, Diego/AAV-6122-2021; Baltazar, Samuel/E-1814-2011; Deluigi, Orlando/MBH-0890-2025; Gonzalez, Rafael I./I-8560-2015; Pinzon, Reinhardt/IZQ-4451-2023; Tramontina, Diego Ramiro/J-4528-2014</t>
  </si>
  <si>
    <t>Deluigi, Orlando/0000-0002-2841-9781; Baltazar, Samuel/0000-0001-9826-9400; Gonzalez, Rafael I./0000-0003-2599-8404; Bringa, Eduardo/0000-0002-1403-1954; Pinzon, Reinhardt/0000-0002-5746-9470; Tramontina, Diego Ramiro/0000-0001-5356-6719</t>
  </si>
  <si>
    <t>0927-0256</t>
  </si>
  <si>
    <t>1879-0801</t>
  </si>
  <si>
    <t>10.1016/j.commatsci.2023.112304</t>
  </si>
  <si>
    <t>WOS:001017257600001</t>
  </si>
  <si>
    <t>Heinrich, M; Jalil, B; Abdel-Tawab, M; Echeverria, J; Kulic, Z; Mcgaw, LJ; Pezzuto, JM; Potterat, O; Wang, JB</t>
  </si>
  <si>
    <t>Heinrich, M.; Jalil, B.; Abdel-Tawab, M.; Echeverria, J.; Kulic, Z.; McGaw, L. J.; Pezzuto, J. M.; Potterat, O.; Wang, J-B</t>
  </si>
  <si>
    <t>Short Lecture Consensus statement: The Phytochemical Characterisation of Medicinal Plant extracts (ConPhyMP) - from a needs assessment to the defining best practice</t>
  </si>
  <si>
    <t>PLANTA MEDICA</t>
  </si>
  <si>
    <t>70th International Congress and Annual Meeting of the Society-for-Medicinal-Plant-and-Natural-Product-Research (GA)</t>
  </si>
  <si>
    <t>AUG 28-31, 2022</t>
  </si>
  <si>
    <t>Thessaloniki, GREECE</t>
  </si>
  <si>
    <t>Soc Medicinal Plant &amp; Nat Prod Res</t>
  </si>
  <si>
    <t>Echeverría, Javier/E-9989-2011; McGaw, Lyndy/P-8993-2016; Abdel-Tawab, Apl. Prof. Dr. Mona/GVS-7078-2022; Johnson, Michael/F-5141-2013</t>
  </si>
  <si>
    <t>0032-0943</t>
  </si>
  <si>
    <t>1439-0221</t>
  </si>
  <si>
    <t>SL-B03</t>
  </si>
  <si>
    <t>10.1055/s-0042-1758932</t>
  </si>
  <si>
    <t>WOS:000921330500054</t>
  </si>
  <si>
    <t>Chakrawarthi, V; Avudaiappan, S; Amran, M; Dharmar, B; Jesuarulraj, LR; Fediuk, R; Aepuru, R; Vatin, NI; Flores, ES</t>
  </si>
  <si>
    <t>Chakrawarthi, Vijayaprabha; Avudaiappan, Siva; Amran, Mugahed; Dharmar, Brindha; Raj Jesuarulraj, Leon; Fediuk, Roman; Aepuru, Radhamanohar; Vatin, Nikolai Ivanovich; Saavedra Flores, Erick</t>
  </si>
  <si>
    <t>Impact Resistance of Polypropylene Fibre-Reinforced Alkali-Activated Copper Slag Concrete</t>
  </si>
  <si>
    <t>Copper slag (CS) is produced during the smelting process to separate copper from copper ore. The object of the experimental research is to find the optimum percentage of CS and PPF volume fraction when CS replaces fine aggregate, and PPF volume fraction when subjected to impact loading. Copper slag was incorporated as 20%, 40%, 60%, 80% and 100% with PPF of 0.2-0.8% with 0.2% increment. The number of blows on failure of the specimen increases as the fibre volume increases. In addition, the energy absorption of composite concrete is higher than that of ordinary concrete. Concrete with up to 40% CS and 0.6% PPF volume shows a 111.72% increase in the number of blows for failure as compared to the control specimen. The impact resistance at failure was predicted by regression analysis, and very high regression coefficients of 0.93, 0.98 and 0.98 were obtained respectively at 7-, 14- and 28-days curing. In addition to regression analysis, a two-parameter Weibull distribution analysis was used to obtain reliable data on the number of blows at first cracking and eventual failure. The energy absorption at 28-day curing period is 1485.81 Nm which is 284% higher than the control mix. Based on the findings, it can be inferred that adding CS up to 60% densifies the microstructure due to its pozzolanic activity, while polypropylene fibre acts as a micro reinforcement, increasing the number of blows.</t>
  </si>
  <si>
    <t>dharmar, brindha/AAQ-5813-2020; AEPURU, RADHAMANOHAR/AAT-4645-2020; Avudaiappan, Siva/AAV-7579-2021; amran, mugahed/AAW-4821-2020; Vatin, Nikolai Ivanovich/O-6995-2019; Fediuk, Roman/N-6730-2017</t>
  </si>
  <si>
    <t>AVUDAIAPPAN, SIVA/0000-0002-4289-4298; Fediuk, Roman/0000-0002-2279-1240; Vatin, Nikolai Ivanovich/0000-0002-1196-8004</t>
  </si>
  <si>
    <t>10.3390/ma14247735</t>
  </si>
  <si>
    <t>WOS:000738730900001</t>
  </si>
  <si>
    <t>Mousazadeh, M; Niaragh, EK; Usman, M; Khan, SU; Sandoval, MA; Al-Qodah, Z; Khalid, ZB; Gilhotra, V; Emamjomeh, MM</t>
  </si>
  <si>
    <t>Mousazadeh, Milad; Niaragh, Elnaz Karamati; Usman, Muhammad; Khan, Saif Ullah; Sandoval, Miguel Angel; Al-Qodah, Zakaria; Khalid, Zaied Bin; Gilhotra, Vishakha; Emamjomeh, Mohammad Mahdi</t>
  </si>
  <si>
    <t>A critical review of state-of-the-art electrocoagulation technique applied to COD-rich industrial wastewaters</t>
  </si>
  <si>
    <t>Electrocoagulation (EC) is one of the emerging technologies in groundwater and wastewater treatment as it combines the benefits of coagulation, sedimentation, flotation, and electrochemical oxidation processes. Extensive research efforts implementing EC technology have been executed over the last decade to treat chemical oxygen demand (COD)-rich industrial wastewaters with the aim to protect freshwater streams (e.g., rivers, lakes) from pollution. A comprehensive review of the available recent literature utilizing EC to treat wastewater with high COD levels is presented. In addition, recommendations are provided for future studies to improve the EC technology and broaden its range of application. This review paper introduces some technologies which are often adopted for industrial wastewater treatment. Then, the EC process is compared with those techniques as a treatment for COD-rich wastewater. The EC process is considered as the most privileged technology by different research groups owing to its ability to deal with abundant volumes of wastewater. After, the application of EC as a single and combined treatment for COD-rich wastewaters is thoroughly reviewed. Finally, this review attempts to highlight the potentials and limitations of EC. Related to the EC process in batch operation mode, the best operational conditions are found at 10 V and 60 min of voltage and reaction time, respectively. These last values guarantee high COD removal efficiencies of &gt; 90%. This review also concludes that considerably large operation costs of the EC process appears to be the serious drawback and renders it as an unfeasible approach for handling of COD rich wastewaters. In the end, this review has attempted to highlights the potential and limitation of EC and suggests that vast notably research in the field of continuous flow EC system is essential to introduce this technology as a convincing wastewater technology.</t>
  </si>
  <si>
    <t>Mousazadehgavan, Milad/KTI-6446-2024; Al-Qodah, Zakaria/E-6132-2017; Niaragh, Elnaz/AAJ-3924-2020; Khan, Saif/IQU-2754-2023; Usman, Muhammad/Y-8136-2019; Sandoval, Miguel A/JCF-1838-2023; Emamjomeh, Mohammad Mahdi/I-7710-2015; Mousazadehgavan, Milad/W-3041-2018; Gilhotra, Vishakha/KYP-6385-2024</t>
  </si>
  <si>
    <t>Usman, Muhammad/0000-0002-8977-7523; Emamjomeh, Mohammad Mahdi/0000-0003-2772-6832; Mousazadehgavan, Milad/0000-0003-1464-3915; Gilhotra, Vishakha/0000-0002-2644-238X; Karamati Niaragh, Elnaz/0000-0002-4050-4815; Bin Khalid, Zaied/0000-0003-2762-2101</t>
  </si>
  <si>
    <t>10.1007/s11356-021-14631-w</t>
  </si>
  <si>
    <t>JUN 2021</t>
  </si>
  <si>
    <t>WOS:000664869900008</t>
  </si>
  <si>
    <t>Ramírez-Vélez, R; Hernández-Quiñones, PA; Tordecilla-Sanders, A; Alvarez, C; Ramírez-Campillo, R; Izquierdo, M; Correa-Bautista, JE; Garcia-Hermoso, A; Garcia, RG</t>
  </si>
  <si>
    <t>Ramirez-Velez, Robinson; Andrea Hernandez-Quinones, Paula; Tordecilla-Sanders, Alejandra; Alvarez, Cristian; Ramirez-Campillo, Rodrigo; Izquierdo, Mikel; Enrique Correa-Bautista, Jorge; Garcia-Hermoso, Antonio; Garcia, Ronald G.</t>
  </si>
  <si>
    <t>Effectiveness of HIIT compared to moderate continuous training in improving vascular parameters in inactive adults</t>
  </si>
  <si>
    <t>LIPIDS IN HEALTH AND DISEASE</t>
  </si>
  <si>
    <t>BackgroundStrong evidence shows that physical inactivity increases the risk of many adverse health conditions, including major non-communicable diseases, such as cardiovascular disease (CVD), metabolic syndrome, and breast and colon cancers, and shortens life expectancy. We aimed to determine the effects of moderate (MCT)- versus high-intensity interval training (HIT) on vascular function parameters in physically inactive adults. We hypothesized that individualized HIT prescription would improve the vascular function parameters more than the MCT in a greater proportion of individuals.MethodsTwenty-one inactive adults were randomly allocated to receive either MCT group (60-75% of their heart rate reserve, [HRR] or HIT group (4min at 85-95% of peak HRR), 3 days a week for 12weeks. Vascular function (brachial artery flow-mediated dilation, FMD [%], normalized brachial artery flow-mediated dilation, FMDn [%], aortic pulse wave velocity, PWV [ms(-1)], AIx, augmentation index: aortic and brachial [%]), were measured at baseline and over 12weeks of training. In order for a participant to be considered a responder to improvements in vascular function parameters (FMDn and PWV), the typical error was calculated in a favorable direction.ResultsFMD changed by -1.0% (SE 2.1, d=0.388) in the MCT group, and+1.8% (SE 1.8, d=0.699) in the HIT group (no significant difference between groups: 2.9% [95% CI, -3.0 to 8.8]. PWV changed by +0.1ms(-1) (SE 0.2, d=0.087) in the MCT group but decreased by -0.4ms(-1) in the HIT group (SE 0.2, d=0.497), with significant difference between groups: -0.4 [95% CI, -0.2 to -0.7]. There was not a significant difference in the prevalence of no-responder for FMD (%) between the MCT and HIT groups (66% versus 36%, P=0.157). Regarding PWV (ms(-1)), an analysis showed that the prevalence of no-responder was 77% (7 cases) in the MCT group and 45% (5 cases) in the HIT group (P=0.114).ConclusionsUnder the conditions of the present study, both groups experienced changed in vascularfunction parameters. Compared to MCT group, HIT is more efficacious for improving FMD and decreasing PWV, in physically inactive adults.Trial registrationClinicalTrials.gov NCT02738385 registered on 23 March 2016.</t>
  </si>
  <si>
    <t>Ramirez-Campillo, Rodrigo/M-1258-2016; ALVAREZ, CRISTIAN/S-8150-2019; García-Hermoso, Antonio/ADU-2591-2022; Correa-Bautista, Jorge Enrique/JDD-3131-2023; Izquierdo, Mikel/A-4894-2010; Tordecilla-Sanders, Alejandra/O-6276-2017; Garcia, Ronald Gerardo/AAU-8608-2020; Correa-Bautista, Jorge Enrique/N-2741-2015; Garcia-Hermoso, Antonio/P-1857-2017; Ramirez-Velez, Robinson/D-5311-2016</t>
  </si>
  <si>
    <t>Alvarez, Cristian/0000-0003-4783-9981; Hernandez Quinonez, Paula Andrea/0000-0002-7793-9601; Izquierdo, Mikel/0000-0002-1506-4272; Tordecilla-Sanders, Alejandra/0000-0002-7461-8124; Garcia, Ronald Gerardo/0000-0002-8325-9944; Correa-Bautista, Jorge Enrique/0000-0002-0646-2316; Garcia-Hermoso, Antonio/0000-0002-1397-7182; Ramirez-Velez, Robinson/0000-0003-3075-6960; Ramirez-Campillo, Rodrigo/0000-0003-2035-3279</t>
  </si>
  <si>
    <t>1476-511X</t>
  </si>
  <si>
    <t>10.1186/s12944-019-0981-z</t>
  </si>
  <si>
    <t>WOS:000457762400002</t>
  </si>
  <si>
    <t>Calmet, A; Amar, A; Griveau, S; Lair, V; Sutter, E; Recio, FJ; Brunswick, P; Bedioui, F; Cassir, M</t>
  </si>
  <si>
    <t>Calmet, Amandine; Amar, Abdelilah; Griveau, Sophie; Lair, Virginie; Sutter, Eliane; Javier Recio, Francisco; Brunswick, Philippe; Bedioui, Fethi; Cassir, Michel</t>
  </si>
  <si>
    <t>Corrosion Behavior of Biocompatible Stainless Steels in Physiological Medium for Non-invasive Diagnosis of Small Fiber Neuropathies Applications</t>
  </si>
  <si>
    <t>A non-invasive device based on measurements of electrochemical skin conductance can detect small fiber neuropathy, a sweat gland dysfunction implicated in several diseases. The measurement is related to sweat composition and notably to chloride concentration. To optimize the electrode material, in vitro experiments are performed in mimetic sweat solutions. This work reports on the resistance to pitting corrosion of biocompatible stainless steels (AISI 304L, AISI 430, AISI 430T, D2205) in sweat mimicking electrolyte at pH 7 with variable chloride concentration, to determine the most sensitive material to sweat composition. AISI 430 is promising due to its high sensitivity to chloride concentration variations.</t>
  </si>
  <si>
    <t>Recio, Francisco/AAB-2148-2020</t>
  </si>
  <si>
    <t>LAIR, Virginie/0000-0003-4438-6307; Recio, Francisco/0000-0002-5181-3197</t>
  </si>
  <si>
    <t>10.1002/elan.201500307</t>
  </si>
  <si>
    <t>WOS:000370138000017</t>
  </si>
  <si>
    <t>De la Fuente, C; Martinez-Valdes, E; Cruz-Montecinos, C; Guzman-Venegas, R; Arriagada, D; Lillo, RPY; Henríquez, H; Carpes, FP</t>
  </si>
  <si>
    <t>De la Fuente, Carlos; Martinez-Valdes, Eduardo; Cruz-Montecinos, Carlos; Guzman-Venegas, Rodrigo; Arriagada, David; Pena y Lillo, Roberto; Henriquez, Hugo; Carpes, Felipe P.</t>
  </si>
  <si>
    <t>Changes in the ankle muscles co-activation pattern after 5 years following total ankle joint replacement</t>
  </si>
  <si>
    <t>CLINICAL BIOMECHANICS</t>
  </si>
  <si>
    <t>Background: The Hintegra (R) arthroplasty provides inversion-eversion stability, permits axial rotation, ankle flexion-extension, and improvements of the gait patterns are expected up to 12 months of rehabilitation. However, sensorimotor impairments are observed in ankle flexors/extensors muscles after rehabilitation, with potential negative effects on locomotion. Here we determined the timing and amplitude of co-activation of the tibialis anterior and medial gastrocnemius muscles during gait by assessing non-operated and operated legs of patients with total ankle replacement, 5 years after surgery. Methods: Twenty-nine patients (age: 58 [5.5] years, height: 156.4 [6.5] cm, body mass: 72.9 [6.5] kg, 10 men, and 19 women) that underwent Hintegra (R) ankle arthroplasty were included. Inclusion criteria included 5 years prosthesis survivorship. The onset and offset of muscle activation (timing), as well as the amplitude of activation, were determined during barefoot walking at self-selected speed by surface electromyography. The timing, percentage, and index of co-activation between the tibialis anterior and medial gastrocnemius were quantified and compared between non-operated and operated legs. Findings: The operated leg showed higher co-activation index and temporal overlapping between tibialis anterior and medial gastrocnemius during gait (p &lt; 0.001). Interpretation The neuromuscular changes developed during the process of degeneration do not appear to be restored 5 years following arthroplasty. The insertion of an ankle implant may restore anatomy and alignment but neuromuscular adaptations to degeneration are not corrected by 5 years following joint replacement.</t>
  </si>
  <si>
    <t>De la Fuente, Carlos Ignacio/JOK-9655-2023; Martinez-Valdes, Eduardo/J-6707-2019; Cruz-Montecinos, Carlos/L-4472-2017; Carpes, Felipe/A-1069-2010</t>
  </si>
  <si>
    <t>Arriagada, David/0000-0003-3540-6345; Cruz-Montecinos, Carlos/0000-0002-3835-3368; Guzman-Venegas, Rodrigo/0000-0003-0567-4867; Martinez-Valdes, Eduardo/0000-0002-5790-7514; De la Fuente, Carlos/0000-0002-2429-837X; Carpes, Felipe/0000-0001-8923-4855</t>
  </si>
  <si>
    <t>0268-0033</t>
  </si>
  <si>
    <t>1879-1271</t>
  </si>
  <si>
    <t>10.1016/j.clinbiomech.2018.09.019</t>
  </si>
  <si>
    <t>WOS:000451491900018</t>
  </si>
  <si>
    <t>Prado, Y; Pérez, L; Eltit, F; Echeverría, C; Llancalahuen, FM; Tapia, P; González, PA; Kalergis, AM; Cabello-Verrugio, C; Simon, F</t>
  </si>
  <si>
    <t>Prado, Yolanda; Perez, Lorena; Eltit, Felipe; Echeverria, Cesar; Llancalahuen, Felipe M.; Tapia, Pablo; Gonzalez, Pablo A.; Kalergis, Alexis M.; Cabello-Verrugio, Claudio; Simon, Felipe</t>
  </si>
  <si>
    <t>Procoagulant phenotype induced by oxidized high-density lipoprotein associates with acute kidney injury and death</t>
  </si>
  <si>
    <t>THROMBOSIS RESEARCH</t>
  </si>
  <si>
    <t>Background: Oxidative stress derived from severe systemic inflammation promotes conversion from high-density lipoprotein HDL to oxidized HDL (oxHDL), which interacts with vascular endothelial cells (ECs). OxHDL acquires procoagulant features playing a role in modulating coagulation, which has been linked with organ failure in ICU patients. However, whether oxHDL elicits a ECs-mediated procoagulant phenotype generating organ failure and death, and the underlying molecular mechanism is not known. Therefore, we studied whether oxHDL-treated rats and high-oxHDL ICU patients exhibit a procoagulant phenotype and its association with kidney injury and mortality and the endothelial underlying molecular mechanism. Methods: Human ECs, oxHDL-treated rats and ICU patients were subjected to several cellular and molecular studies, coagulation analyses, kidney injury assessment and mortality determination. Results: OxHDL-treated ECs showed a procoagulant protein expression reprograming characterized by increased E-/P-selectin and vWF mRNA expression through specific signaling pathways. OxHDL-treated rats exhibited a procoagulant phenotype and modified E-/P-selectin, vWF, TF and t-PA mRNA expression correlating with plasma TF, t-PA and D-dimer. Also, showed increased death events and the relative risk of death, and increased creat-inine, urea, BUN/creatinine ratio, KIM-1, NGAL, beta 2M, and decreased eGFR, all concordant with kidney injury, correlated with plasma TF, t-PA and D-dimer. ICU patients showed correlation between plasma oxHDL and increased creatinine, cystatin, BUN, BUN/creatinine ratio, KIM-1, NGAL, beta 2M, and decreased GFR. Notably, ICU high-oxHDL patients showed decreased survival. Interestingly, altered coagulation factors TF, t-PA and D-dimer correlated with both increased oxHDL levels and kidney injury markers, indicating a connection between these factors. Conclusion: Increased circulating oxHDL generates an endothelial-dependent procoagulant phenotype that as-sociates with acute kidney injury and increased risk of death.</t>
  </si>
  <si>
    <t>Eltit, Felipe/HNP-7471-2023; Gonzalez, Pablo/L-1973-2013; Tapia, Pablo/J-2096-2016; ECHEVERRIA, CESAR/AAH-4994-2019; Cabello-Verrugio, Claudio/AAD-1454-2020; Marchant Llancalahuen, Felipe/Q-2149-2017</t>
  </si>
  <si>
    <t>Prado Angulo, Yolanda patricia/0000-0002-3808-5703; ECHEVERRIA ECHEVERRIA, CESAR ANTONIO/0000-0001-5431-7183; Marchant Llancalahuen, Felipe/0000-0003-4014-4474</t>
  </si>
  <si>
    <t>0049-3848</t>
  </si>
  <si>
    <t>1879-2472</t>
  </si>
  <si>
    <t>10.1016/j.thromres.2023.01.014</t>
  </si>
  <si>
    <t>JAN 2023</t>
  </si>
  <si>
    <t>WOS:000925692100001</t>
  </si>
  <si>
    <t>Gloger, S; Martínez, P; Behn, A; Chacón, MV; Cottin, M; de Medina, DD; Vöhringer, PA</t>
  </si>
  <si>
    <t>Gloger, Sergio; Martinez, Pablo; Behn, Alex; Victoria Chacon, M.; Cottin, Marianne; Diez de Medina, Dante; Vohringer, Paul A.</t>
  </si>
  <si>
    <t>Population-attributable risk of adverse childhood experiences for high suicide risk, psychiatric admissions, and recurrent depression, in depressed outpatients</t>
  </si>
  <si>
    <t>EUROPEAN JOURNAL OF PSYCHOTRAUMATOLOGY</t>
  </si>
  <si>
    <t>Background: Population-attributable risk (PAR) may help estimate the potential contribution of adverse childhood experiences (ACEs) to serious clinical presentations of depression, characterized by suicidality, previous psychiatric admissions, and episode recurrence. Objective: To determine the PAR of ACEs for serious clinical presentations of depression (high suicide risk, previous psychiatric admissions, and recurrent depression) in outpatients with ICD-10 clinical depression. Method: Systematic chart review of 1,013 adults who were assessed and/or treated in a mental health clinic in Santiago, Chile for a major depressive episode. Data were collected on demographics and clinical characteristics of depression. Exposure to ACEs was determined with the Brief Physical and Sexual Abuse Questionnaire, assessing seven types of ACEs. Multivariable logistic regression analysis was used to assess the association between exposure to ACEs and suicidality, previous psychiatric admissions, and recurrence. Predicted probabilities were used for calculations of PAR. Results: Of the 1,001 study participants with complete data, 53.3% had recurrent depression, 13.5% had high suicide risk, and 5.0% had previous psychiatric admissions. Exposure to at least one ACE was recorded for 69.0% of the sample. Exposure to at least one ACE and specific types of ACEs (i.e. childhood sexual abuse and traumatic separation from caregiver) were associated with serious clinical presentations of depression. A dose-response relationship was observed between cumulative exposure to ACEs and the most serious clinical presentations of depression. ACEs were attributed to a significant proportion of disease: 61.6% of previous psychiatric admissions, 45.0% of high suicide risk, and 14.5% of recurrent depression. Conclusions: A substantial proportion of serious clinical presentations of depression among outpatients are associated with ACEs. Early detection of depressive episodes associated with ACEs, and tailored treatment for these patients, may potentially reduce the incidence of serious complications in this population.</t>
  </si>
  <si>
    <t>Cottin, Marianne/IAP-5604-2023; Martínez, Pablo/LZF-5853-2025; Vohringer, Paul A/B-5860-2013</t>
  </si>
  <si>
    <t>Gloger, Sergio/0000-0002-8674-1306; Martinez, Pablo/0000-0003-4482-7993; Behn, Alex/0000-0003-2070-7866; Cottin, Marianne/0000-0002-9460-7190; Chacon, M.Victoria/0000-0002-7438-8031; Vohringer, Paul A/0000-0002-2460-4680</t>
  </si>
  <si>
    <t>2000-8198</t>
  </si>
  <si>
    <t>2000-8066</t>
  </si>
  <si>
    <t>10.1080/20008198.2021.1874600</t>
  </si>
  <si>
    <t>WOS:000620632900001</t>
  </si>
  <si>
    <t>Samanipour, MH; Azizi, M; Salehian, O; Ceylan, HI; Mielgo-Ayuso, JF; Del Coso, J; Muntean, RI; Bragazzi, NL; Herrera-Valenzuela, T</t>
  </si>
  <si>
    <t>Samanipour, Mohammad Hossein; Azizi, Mohammad; Salehian, Omid; Ceylan, Halil Ibrahim; Mielgo-Ayuso, Juan Francisco; Del Coso, Juan; Muntean, Raul Ioan; Bragazzi, Nicola Luigi; Herrera-Valenzuela, Tomas</t>
  </si>
  <si>
    <t>Exploring Gender-Specific Correlations Between Nutritional Intake, Body Composition, Psychological Skills, and Performance Metrics in Young Taekwondo Athletes</t>
  </si>
  <si>
    <t>Objectives: Taekwondo performance is influenced by a complex and dynamic interplay of physical, nutritional, and psychological factors, all of which contribute to competitive success. However, the gender-specific relationships among these factors in young high-performance athletes remain understudied. This study aimed to fill in this knowledge gap. Methods: A cross-sectional study was conducted with 35 elite taekwondo athletes (male: n = 20, female: n = 15, age: 13 +/- 1 years). Participants underwent anthropometric assessments, dietary evaluations, and psychological skill assessments during an 8-week training camp before the World Taekwondo Championships. Physical performance was assessed using the Frequency Speed of Kick Test (FSKTmult) and the Taekwondo-Specific Agility Test (TSAT). Statistical analyses included independent t-tests, correlation analyses, and regression models. Results: Males exhibited significantly higher fat-free mass (FFM: 42.8 +/- 2.9 kg vs. 36.3 +/- 1.6 kg, p &lt; 0.001), skeletal muscle mass (SMM: 31.1 +/- 2.2 kg vs. 28.2 +/- 1.6 kg, p &lt; 0.001), and energy intake (32.4 +/- 4.6 kcal/kg vs. 29.3 +/- 3.1 kcal/kg, p = 0.032) than females. Males also had greater dietary intakes of vitamin A, vitamin C, magnesium, and iron (all p &lt; 0.05). There were no gender differences in any psychological attributes associated with emotional intelligence, sport success perception, and mental toughness. Although the total kick count in the FSKTmult was similar for male and female taekwondo athletes (100.2 +/- 4.6 vs. 97.5 +/- 5.9 kicks, p = 0.139), males outperformed females in round 4 (19.4 +/- 1.1 vs. 18.6 +/- 1.4 kicks, p = 0.048) and round 5 (18.2 +/- 1.0 vs. 17.2 +/- 1.0 kicks, p = 0.007) of this test, suggesting higher physical performance maintenance during the test. Regression models indicated that body mass (beta = 0.901, p &lt; 0.001) and calcium intake (beta = 0.284, p = 0.011) predicted performance in males, while body mass (beta = 1.372, p &lt; 0.001), protein intake (beta = 0.171, p = 0.012), and emotional regulation (beta = 0.174, p = 0.012) were key predictors in females. Conclusions: These findings highlight the importance of an integrated approach to training, nutrition, and psychological preparation in optimizing taekwondo performance. While males and females demonstrated similar psychological resilience and total kick output in a taekwondo-specific test, males exhibited superior endurance in later test rounds of this test. Performance optimization in young elite taekwondo athletes may require the implementation of gender-specific training and nutrition strategies, emphasizing body weight control and calcium intake for males and protein intake for females.</t>
  </si>
  <si>
    <t>Bragazzi, Nicola/G-1672-2011; Herrera-Valenzuela, Tomas/L-1819-2019; Muntean, Raul/ADM-9287-2022; Del Coso, Juan/AAC-7117-2020; Mielgo-Ayuso, Juan/E-7525-2019; Samanipour, Mohammad Hossein/AGS-3388-2022</t>
  </si>
  <si>
    <t>10.3390/nu17071202</t>
  </si>
  <si>
    <t>WOS:001464871000001</t>
  </si>
  <si>
    <t>Mohammed, PO; Lizama, C; Al-sarairah, E; Guirao, JLG; Chorfi, N; Vivas-cortez, M</t>
  </si>
  <si>
    <t>Mohammed, Pshtiwan Othman; Lizama, Carlos; Al-sarairah, Eman; Guirao, Juan l. g.; Chorfi, Nejmeddine; Vivas-cortez, Miguel</t>
  </si>
  <si>
    <t>ANALYSIS SEQUENTIAL FRACTIONAL DIFFERENCES AND RELATED MONOTONICITY RESULTS</t>
  </si>
  <si>
    <t>FRACTALS-COMPLEX GEOMETRY PATTERNS AND SCALING IN NATURE AND SOCIETY</t>
  </si>
  <si>
    <t>This paper employs the monotonicity analysis for non-negativity to derive a class of sequential fractional backward differences of Riemann-Liouville type (a+1(RL)del(nu )(RL)(a)del(alpha)u (t) based on a certain subspace in the parameter space (0, 1) x (0, 1). Auxiliary and restriction conditions are included in the monotonicity results obtained in this paper and they confirm the monotonicity of the function on {a + 2, a + 3,&amp; mldr;}. A non-monotonicity result is also established based on the main conditions together with further dual conditions, and this confirms that the main theorem is almost sharp. Furthermore, we recast the dual conditions in a sing condition, and then we represent the sharpness result in a new corollary. Finally, numerical results via MATLAB software are used to illustrate the main mathematical results for some special cases.</t>
  </si>
  <si>
    <t>Chorfi, Nejmeddine/I-5326-2018; GUIRAO, JUAN L.G./C-5189-2014; Lizama, Carlos/E-5909-2011; Mohammed, Pshtiwan/AAJ-4673-2020; Vivas-Cortez, Miguel/AAC-9992-2019</t>
  </si>
  <si>
    <t>GUIRAO, JUAN L.G./0000-0003-2788-809X; Lizama, Carlos/0000-0002-9807-1100; Mohammed, Pshtiwan/0000-0001-6837-8075; Vivas-Cortez, Miguel/0000-0002-1567-0264</t>
  </si>
  <si>
    <t>0218-348X</t>
  </si>
  <si>
    <t>1793-6543</t>
  </si>
  <si>
    <t>07N08</t>
  </si>
  <si>
    <t>10.1142/S0218348X24400371</t>
  </si>
  <si>
    <t>WOS:001261268500002</t>
  </si>
  <si>
    <t>Estrada-Saldaña, E; Marques, A; Silva, DR; Farías-Valenzuela, C; Ferrero-Hernández, P; Guzman-Habinger, J; Rezende, LFM; Ferrari, G</t>
  </si>
  <si>
    <t>Estrada-Saldana, Esteban; Marques, Adilson; Silva, Danilo R.; Farias-Valenzuela, Claudio; Ferrero-Hernandez, Paloma; Guzman-Habinger, Juan; Rezende, Leandro F. M.; Ferrari, Gerson</t>
  </si>
  <si>
    <t>Combined association of physical activity and sitting time with cardiometabolic risk factors in Chilean adults</t>
  </si>
  <si>
    <t>In this study we examined the combined association of physical activity and sitting time with cardiometabolic risk factors in adults in Chile. This is a cross-sectional study based on 3201 adults aged from 18 to 98 years from the Chilean National Health Survey (2016-2017) who responded to the GPAQ questionnaire. Participants were considered inactive if spent &lt; 600 METs-min/wk(-1) in physical activity. High sitting time was defined as &gt;= 8 h/day. We classified participants into the following 4 groups: active and low sitting time; active and high sitting time; inactive and low sitting time; inactive and high sitting time. The cardiometabolic risk factors considered were metabolic syndrome, body mass index, waist circumference, total cholesterol, and triglycerides. Multivariable logistic regression models were performed. Overall, 16.1% were classified as inactive and high sitting time. Compared to active participants with low sitting time, both inactive participants with low (OR: 1.51; 95% CI 1.10, 1.92) and high sitting time (1.66; 1.10, 2.22) had higher body mass index. Similar results were found for high waist circumference: inactive participants with low (1.57; 1.14, 2.00) and high sitting time (1.84; 1.25, 2.43). We found no combined association of physical activity and sitting time with metabolic syndrome, total cholesterol, and triglycerides. These findings may be useful to inform programs focused on obesity prevention in Chile.</t>
  </si>
  <si>
    <t>Rezende, Leandro/C-1724-2012; Ferrari, Gerson/HHM-6173-2022; Marques, Adilson/K-4529-2014; Ferrari, Gerson/P-1152-2014; Silva, Danilo/E-3747-2018</t>
  </si>
  <si>
    <t>Marques, Adilson/0000-0001-9850-7771; Ferrari, Gerson/0000-0003-3177-6576; Silva, Danilo/0000-0003-3995-4795</t>
  </si>
  <si>
    <t>10.1038/s41598-023-36422-8</t>
  </si>
  <si>
    <t>WOS:001009117000044</t>
  </si>
  <si>
    <t>Garcia-Hermoso, A; Tordecilla-Sanders, A; Correa-Bautista, JE; Peterson, MD; Izquierdo, M; Quino-Avila, AC; Sandoval-Cuellar, C; González-Ruíz, K; Ramírez-Vélez, R</t>
  </si>
  <si>
    <t>Garcia-Hermoso, Antonio; Tordecilla-Sanders, Alejandra; Enrique Correa-Bautista, Jorge; Peterson, Mark D.; Izquierdo, Mikel; Cristina Quino-Avila, Aura; Sandoval-Cuellar, Carolina; Gonzalez-Ruiz, Katherine; Ramirez-Velez, Robinson</t>
  </si>
  <si>
    <t>Muscle strength cut-offs for the detection of metabolic syndrome in a nonrepresentative sample of collegiate students from Colombia</t>
  </si>
  <si>
    <t>Background: Evidence shows an association between grip strength and health; however, grip strength cut-offs for the detection of metabolic syndrome (MetS) in Latin American populations are scarce. The purpose of this study was to determine cut-offs of normalized grip strength (NGS) for the detection of MetS in a large nonrepresentative sample of a collegiate student population from Colombia. Methods: A total of 1795 volunteers (61.4% female; age = 20.68 +/- 3.10 years, mean +/- SD), ranging between 18 and 30 years of age participated in the study. Strength was estimated using a handheld dynamometer and normalized to body mass (handgrip strength (kg)/body mass (kg)). Anthropometrics, serum lipids indices, blood pressure, and fasting plasma glucose were measured. Body composition was measured by bioelectrical impedance analysis. MetS was defined as including &gt;= 3 of the 5 metabolic abnormalities according to the International Diabetes Federation definition. A metabolic risk score was computed from the following components: waist circumference, triglycerides, high-density lipoprotein cholesterol, glucose, and systolic and diastolic blood pressure. Results: Receiver operating curve analysis showed significant discriminatory accuracy of NGS in identifying the thresholds and risk categories. Lower strength was associated with increased prevalence of MetS. In males, weak, intermediate, and strong NGS values at these points were &lt;0.466, 0.466-0.615, &gt;0.615, respectively. In females, these cut-off points were &lt;0.332, 0.332-0.437, &gt;0.437, respectively. Conclusion: Our sex-specific cut-offs of NGS could be incorporated into a clinical setting for identifying college students at cardiometabolic disease risk. (C) 2020 Published by Elsevier B.V. on behalf of Shanghai University of Sport.</t>
  </si>
  <si>
    <t>Sandoval-Cuellar, Carolina/AAP-8957-2021; Correa-Bautista, Jorge Enrique/JDD-3131-2023; González-Ruíz, Katherine/CAA-4624-2022; Peterson, Mark/ABD-3853-2020; García-Hermoso, Antonio/ADU-2591-2022; Ramirez-Velez, Robinson/D-5311-2016; Izquierdo, Mikel/A-4894-2010; Garcia-Hermoso, Antonio/P-1857-2017; Tordecilla-Sanders, Alejandra/O-6276-2017; Correa-Bautista, Jorge Enrique/N-2741-2015</t>
  </si>
  <si>
    <t>Ramirez-Velez, Robinson/0000-0003-3075-6960; Izquierdo, Mikel/0000-0002-1506-4272; Peterson, Mark/0000-0002-9861-4275; Garcia-Hermoso, Antonio/0000-0002-1397-7182; Sandoval-Cuellar, Carolina/0000-0003-1576-4380; Tordecilla-Sanders, Alejandra/0000-0002-7461-8124; Correa-Bautista, Jorge Enrique/0000-0002-0646-2316</t>
  </si>
  <si>
    <t>10.1016/j.jshs.2018.09.004</t>
  </si>
  <si>
    <t>WOS:000535761900011</t>
  </si>
  <si>
    <t>Pérez, S; Casassus, S; Baruteau, C; Dong, RB; Hales, A; Cieza, L</t>
  </si>
  <si>
    <t>Perez, Sebastian; Casassus, Simon; Baruteau, Clement; Dong, Ruobing; Hales, Antonio; Cieza, Lucas</t>
  </si>
  <si>
    <t>Dust Unveils the Formation of a Mini-Neptune Planet in a Protoplanetary Ring</t>
  </si>
  <si>
    <t>Rings and radial gaps are ubiquitous in protoplanetary disks, yet their possible connection to planet formation is currently subject to intense debates. In principle, giant planet formation leads to wide gaps that separate the gas and dust mass reservoir in the outer disk, while lower mass planets lead to shallow gaps that are manifested mainly on the dust component. We used the Atacama Large Millimeter/submillimeter Array (ALMA) to observe the star HD 169142, host to a prominent disk with deep, wide gaps that sever the disk into inner and outer regions. The new ALMA high-resolution images allow for the outer ring to be resolved as three narrow rings. The HD 169142 disk thus hosts both the wide gap trait of transition disks and a narrow-ring system similar to those observed in the TW Hya and HL Tau systems. The mass reservoir beyond a deep gap can thus host ring systems. The observed rings are narrow in radial extent (width/radius of 1.5/57.3, 1.8/64.2, and 3.4/76.0 in au) and have asymmetric mutual separations: the first and middle ring are separated by 7 au while the middle and outermost ring are distanced by similar to 12 au. Using hydrodynamical modeling we found that a simple explanation, involving a single migrating low-mass planet (10M(circle plus)), entirely accounts for such an apparently complex phenomenon. Inward migration of the planet naturally explains the ring's asymmetric mutual separation. The isolation of HD 169142's outer rings thus allows a proof of concept to interpret the detailed architecture of the outer region of protoplanetary disks with low-mass planet formation of mini-Neptune's size, i.e., as in the protosolar nebula.</t>
  </si>
  <si>
    <t>Casassus, Simon/I-8609-2016; Pérez, Sebastián/AAS-5857-2020; Rui, Dong/LDG-0179-2024</t>
  </si>
  <si>
    <t>Hales, Antonio/0000-0001-5073-2849; Casassus, Simon/0000-0002-0433-9840; Perez, Sebastian/0000-0003-2953-755X; Dong, Ruobing/0000-0001-9290-7846; Cieza, Lucas/0000-0002-2828-1153</t>
  </si>
  <si>
    <t>10.3847/1538-3881/ab1f88</t>
  </si>
  <si>
    <t>WOS:000471731300001</t>
  </si>
  <si>
    <t>Pinto, L; Sepúlveda, SA; Lefeuvre, C; Albornoz, C; Rhodes, J; Jara, P; Muñoz, P; Deckart, K</t>
  </si>
  <si>
    <t>Pinto, L.; Sepulveda, S. A.; Lefeuvre, C.; Albornoz, C.; Rhodes, J.; Jara, P.; Munoz, P.; Deckart, K.</t>
  </si>
  <si>
    <t>Analog modeling of landslide dynamics: Case study from the Andean Meson Alto deposit, Central Chile (∼33°40′S)</t>
  </si>
  <si>
    <t>GEOMORPHOLOGY</t>
  </si>
  <si>
    <t>The Meson Alto deposit in the Central Chilean Andes (similar to 33 degrees 40'S) is a large-volume rock avalanche deposit (similar to 4.5 km(3)) formed in a glacial valley, presenting four distinct lithological bands whose origin is uncertain. This study employs analog modeling to investigate the influence of different kinematic variables on the deposit characteristics of landslides inspired in the Meson Alto deposit. Field mapping has identified two primary lithological groups in the Meson Alto deposit: andesitic fragments from the Oligo-Miocene formation and Miocene granodioritic rocks. The deposit displays a complex distribution of materials, including areas with well-sorted and poorly sorted deposits and varying grain sizes, from very large blocks to a locally significant presence of fine sediments. We developed analog models using a custom device that simulates the fluvial and glacial valley topography, varying factors such as valley geometry (U- or V-valley), opposite slope angles, and the number and proportion of landslide events. The measured parameters for comparisons included the deposit's width, length, and vertical and horizontal distances from the landslide crown to the toe. Our results highlight that variations in valley geometry and the number of events significantly influence the observed deposit structure. The study's findings provide insights into the dynamics of large-volume landslides and contribute to understanding the Meson Alto deposit's formation. Results suggest that its complexity is primarily driven by a combination of geomorphological factors and the number of rock avalanche events: U-valley in confined conditions and two events, with the first larger than the second (70 %-30 %). Our results shed light on the processes shaping the Meson Alto deposit and offer a framework for interpreting similar deposits in other glacial valleys worldwide, enhancing our understanding of variables that potentially influence the distribution and characteristics of landslide deposits in diverse settings.</t>
  </si>
  <si>
    <t>Deckart, Katja/H-8844-2013; Sepulveda, Sergio/A-9825-2008; Pinto, Luisa/I-1562-2013</t>
  </si>
  <si>
    <t>Pinto, Luisa/0000-0002-2176-2958</t>
  </si>
  <si>
    <t>0169-555X</t>
  </si>
  <si>
    <t>1872-695X</t>
  </si>
  <si>
    <t>10.1016/j.geomorph.2024.109564</t>
  </si>
  <si>
    <t>WOS:001389191900001</t>
  </si>
  <si>
    <t>Simpson, MJ; Hjelmqvist, D; López-Alarcón, C; Karamehmedovic, N; Minehan, TG; Yepremyan, A; Salehani, B; Lissi, E; Joubert, E; Udekwu, KI; Alarcon, EI</t>
  </si>
  <si>
    <t>Simpson, Madeline J.; Hjelmqvist, Daisy; Lopez-Alarcon, Camilo; Karamehmedovic, Nadja; Minehan, Thomas G.; Yepremyan, Akop; Salehani, Baback; Lissi, Eduardo; Joubert, Elizabeth; Udekwu, Klas I.; Alarcon, Emilio I.</t>
  </si>
  <si>
    <t>Anti-Peroxyl Radical Quality and Antibacterial Properties of Rooibos Infusions and Their Pure Glycosylated Polyphenolic Constituents</t>
  </si>
  <si>
    <t>The anti-peroxyl radical quality of two aqueous rooibos infusions and solutions of their most abundant glycosylated polyphenols was evaluated using pyrogallol red and fluorescein-based oxygen radical absorbance ratios. It was observed that the artificial infusions, prepared using only the most abundant polyphenols present in rooibos and at concentrations similar to those found in the natural infusions, showed greater antioxidant quality than the latter infusions, reaching values close to those reported for tea infusions. Additionally, the antimicrobial activity of the natural and artificial infusions was assessed against three species of bacteria: Gram (+) Staphylococcus epidermidis and Staphylococcus aureus and Gram (-) Escherichia coli. When compared to the natural infusions the artificial beverages did not demonstrate any bacterostatic/cidal activity, suggesting that the antibacterial activity of rooibos is related to compounds other than the glycosylated polyphenols employed in our study.</t>
  </si>
  <si>
    <t>Lopez, Camilo/J-5770-2013; Alarcon, Emilio/A-7285-2011; Udekwu, Klas/I-4764-2012</t>
  </si>
  <si>
    <t>Hjelmqvist, Daisy/0000-0002-2126-4385; Joubert, Elizabeth/0000-0002-9717-9769; Udekwu, Klas/0000-0002-8434-0744; Lopez, Camilo/0000-0002-0174-8972</t>
  </si>
  <si>
    <t>10.3390/molecules180911264</t>
  </si>
  <si>
    <t>WOS:000330306600075</t>
  </si>
  <si>
    <t>Arévalo, A; González-Perilli, F; Baldo, JV; Ibáñez, A; García, A</t>
  </si>
  <si>
    <t>Arevalo, Analia; Gonzalez-Perilli, Fernando; Baldo, Juliana V. V.; Ibanez, Agustin; Garcia, Adolfo</t>
  </si>
  <si>
    <t>Editorial: What can we make of theories of embodiment and the role of the human mirror neuron system? An enduring, ever larger question</t>
  </si>
  <si>
    <t>FRONTIERS IN HUMAN NEUROSCIENCE</t>
  </si>
  <si>
    <t>Arevalo, Analia/0000-0002-3793-8081</t>
  </si>
  <si>
    <t>1662-5161</t>
  </si>
  <si>
    <t>JUN 13</t>
  </si>
  <si>
    <t>10.3389/fnhum.2023.1229084</t>
  </si>
  <si>
    <t>WOS:001033251700001</t>
  </si>
  <si>
    <t>Farías-Valenzuela, C; Ferrari, G; Espoz-Lazo, S; Ferrero-Hernández, P; Jofré-Saldia, E; Alvarez-Arangua, S; Poblete-Aro, C; Godoy-Cumillaf, A; Cofre-Bolados, C; Valdivia-Moral, P</t>
  </si>
  <si>
    <t>Farias-Valenzuela, Claudio; Ferrari, Gerson; Espoz-Lazo, Sebastian; Ferrero-Hernandez, Paloma; Jofre-Saldia, Emilio; Alvarez-Arangua, Sebastian; Poblete-Aro, Carlos; Godoy-Cumillaf, Andres; Cofre-Bolados, Cristian; Valdivia-Moral, Pedro</t>
  </si>
  <si>
    <t>Anthropometric Indicators of the Cardiometabolic Risk, Muscle Strength, and Functional Capacity of Schoolchildren with Intellectual Disabilities during Lockdown in Chile</t>
  </si>
  <si>
    <t>Lockdown due to the COVID-19 pandemic has negatively impacted the social, psychological, and physical well-being of the world population. In the case of people with intellectual disabilities, the impact of lockdown on their physical condition and functionality is not completely clear. This study aimed to determine the effects of COVID-19 lockdown on the anthropometric indicators of cardiometabolic risk, muscle strength, and functionality on schoolchildren with intellectual disabilities. The sample was composed of 132 students of both sexes (n = 74 pre-lockdown; n = 58 lockdown) belonging to two special education centers from the Metropolitan Region of Santiago, Chile. Our results showed significant reductions (p &lt;= 0.05) in absolute and relative handgrip strength, as well as in functionality, when comparing pre-lockdown and lockdown measurements, with a greater loss in girls than boys. The design and implementation of physical exercise programs centered on strength training are necessary for the physical and functional reconditioning of this population. These programs need to be implemented in special education centers considering the general well-being, quality of life and work needs of people with intellectual disabilities.</t>
  </si>
  <si>
    <t>Arangua, Sebastian/AAQ-3480-2021; Espoz-Lazo, Sebastian/AAV-2358-2020; Poblete, Carlos/HOF-8260-2023; Ferrari, Gerson/ABG-6635-2021; Valdivia-Moral, Pedro/J-7490-2013; Ferrari, Gerson/P-1152-2014</t>
  </si>
  <si>
    <t>Poblete-Aro, Carlos/0000-0001-9554-3996; Alvarez Arangua, Sebastian/0000-0002-1930-5512; Farias Valenzuela, Claudio/0000-0002-4027-4415; Valdivia-Moral, Pedro/0000-0002-1905-3247; Ferrero Hernandez, Paloma Andrea/0000-0002-0172-660X; Ferrari, Gerson/0000-0003-3177-6576; Espoz-Lazo, Sebastian/0000-0002-8513-4977; Godoy Cumillaf, Andres/0000-0001-8613-6838</t>
  </si>
  <si>
    <t>10.3390/children9091315</t>
  </si>
  <si>
    <t>WOS:000856316000001</t>
  </si>
  <si>
    <t>Presentato, A; Turner, RJ; Vásquez, CC; Yurkov, V; Zannoni, D</t>
  </si>
  <si>
    <t>Presentato, Alessandro; Turner, Raymond J.; Vasquez, Claudio C.; Yurkov, Vladimir; Zannoni, Davide</t>
  </si>
  <si>
    <t>Tellurite-dependent blackening of bacteria emerges from the dark ages</t>
  </si>
  <si>
    <t>ENVIRONMENTAL CHEMISTRY</t>
  </si>
  <si>
    <t>Environmental contextAlthough tellurium is a relatively rare element in the earth's crust, its concentration in some niches can be naturally high owing to unique geology. Tellurium, as the oxyanion, is toxic to prokaryotes, and although prokaryotes have evolved resistance to tellurium, no universal mechanism exists. We review the interaction of tellurite with prokaryotes with a focus on those unique strains that thrive in environments naturally rich in tellurium. AbstractThe timeline of tellurite prokaryotic biology and biochemistry is now over 50 years long. Its start was in the clinical microbiology arena up to the 1970s. The 1980s saw the cloning of tellurite resistance determinants while from the 1990s through to the present, new strains were isolated and research into resistance mechanisms and biochemistry took place. The past 10 years have seen rising interest in more technological developments and considerable advancement in the understanding of the biochemical mechanisms of tellurite metabolism and biochemistry in several different prokaryotes. This research work has provided a list of genes and proteins and ideas about the fundamental metabolism of Te oxyanions. Yet the biomolecular mechanisms of the tellurite resistance determinants are far from established. Regardless, we have begun to see a new direction of Te biology beyond the clinical pathogen screening approaches, evolving into the biotechnology fields of bioremediation, bioconversion and bionanotechnologies and subsequent technovations. Knowledge on Te biology may still be lagging behind that of other chemical elements, but has moved beyond its dark ages and is now well into its renaissance.</t>
  </si>
  <si>
    <t>Turner, Raymond J./M-3961-2015; Presentato, Alessandro/ADV-0495-2022</t>
  </si>
  <si>
    <t>Turner, Raymond J./0000-0002-9263-0776; Presentato, Alessandro/0000-0002-4794-0599</t>
  </si>
  <si>
    <t>1448-2517</t>
  </si>
  <si>
    <t>1449-8979</t>
  </si>
  <si>
    <t>10.1071/EN18238</t>
  </si>
  <si>
    <t>WOS:000473747800006</t>
  </si>
  <si>
    <t>Casassus, S; Cárcamo, M; Hales, A; Weber, P; Dent, B</t>
  </si>
  <si>
    <t>Casassus, Simon; Carcamo, Miguel; Hales, Antonio; Weber, Philipp; Dent, Bill</t>
  </si>
  <si>
    <t>The Doppler Flip in HD 100546 as a Disk Eruption: The Elephant in the Room of Kinematic Protoplanet Searches</t>
  </si>
  <si>
    <t>The interpretation of molecular-line data using hydrodynamical simulations of planet-disk interactions fosters new hope for the indirect detection of protoplanets. In a model-independent approach, embedded protoplanets should be found at the roots of abrupt Doppler flips in velocity centroid maps. However, the largest velocity perturbation known for an unwarped disk, in the disk of HD 100546, leads to a conspicuous Doppler flip that coincides with a thick dust ring, in contradiction with an interpretation in terms of a greater than or similar to 1 M-jup body. Here we present new ALMA observations of the (CO)-C-12(2-1) kinematics in HD 100546, with a factor of 2 finer angular resolutions. We find that the disk rotation curve is consistent with a central mass 2.1 &lt; M-*/M-circle dot &lt; 2.3 and that the blueshifted side of the Doppler flip is due to vertical motions, reminiscent of the disk wind proposed previously from blueshifted SO lines. We tentatively propose a qualitative interpretation in terms of a surface disturbance to the Keplerian flow, i.e., a disk eruption, driven by an embedded outflow launched by a similar to 10 M-earth body. Another interpretation involves a disk-mass-loading hot spot at the convergence of an envelope accretion streamer.</t>
  </si>
  <si>
    <t>Weber, Philipp/HLX-1365-2023; Casassus, Simon/I-8609-2016; Carcamo, Miguel/LEM-3690-2024</t>
  </si>
  <si>
    <t>Weber, Philipp/0000-0002-3354-6654; Dent, William R. F./0000-0002-2490-1079; Casassus, Simon/0000-0002-0433-9840; Carcamo, Miguel/0000-0003-0564-8167; Hales, Antonio/0000-0001-5073-2849</t>
  </si>
  <si>
    <t>JUL 1</t>
  </si>
  <si>
    <t>L4</t>
  </si>
  <si>
    <t>10.3847/2041-8213/ac75e8</t>
  </si>
  <si>
    <t>WOS:000818486100001</t>
  </si>
  <si>
    <t>Huant, S; Baltazar, S; Liu, P; Sellier, H; Hackens, B; Martins, F; Bayot, V; Wallart, X; Desplanque, L; Pala, MG</t>
  </si>
  <si>
    <t>Ihn, T; Rossler, C; Kozikov, A</t>
  </si>
  <si>
    <t>Huant, S.; Baltazar, S.; Liu, P.; Sellier, H.; Hackens, B.; Martins, F.; Bayot, V.; Wallart, X.; Desplanque, L.; Pala, M. G.</t>
  </si>
  <si>
    <t>Planning The Electron Traffic In Semiconductor Networks: A Mesoscopic Analog Of The Braess Paradox Encountered In Road Networks</t>
  </si>
  <si>
    <t>PHYSICS OF SEMICONDUCTORS</t>
  </si>
  <si>
    <t>AIP Conference Proceedings</t>
  </si>
  <si>
    <t>31st International Conference on the Physics of Semiconductors (ICPS)</t>
  </si>
  <si>
    <t>JUL 29-AUG 03, 2012</t>
  </si>
  <si>
    <t>Zurich, SWITZERLAND</t>
  </si>
  <si>
    <t>ETH Zurich,ETH Board,Int Union Pure &amp; Appl Phys,Swiss Natl Sci Fdn,Swiss Natl Ctr Competence Res, Quantum Sci &amp; Technol,Swiss Natl Ctr Competence Res, Quantum Photon,SPECS,SENSIRION,Swiss Airlines,ATTOCUBE,IBM,ID Quantique</t>
  </si>
  <si>
    <t>By combining quantum simulations of electron transport and scanning-gate microscopy, we have shown that the current transmitted through a semiconductor two-path rectangular network in the ballistic and coherent regimes of transport can be paradoxically degraded by adding a third path to the network. This is analogous to the Braess paradox occurring in classical networks. Simulations reported here enlighten the role played by congestion in the network.</t>
  </si>
  <si>
    <t>Baltazar, Samuel/E-1814-2011; Sellier, Hermann/JHV-0154-2023; Huant, Serge/F-4469-2010; Hackens, Benoit/A-7135-2008; Pala, Marco/D-6579-2013; Desplanque, Ludovic/I-2784-2017; Martins, Frederico/F-6751-2011</t>
  </si>
  <si>
    <t>Hackens, Benoit/0000-0001-6121-5126; Pala, Marco/0000-0001-5733-515X; Baltazar, Samuel/0000-0001-9826-9400; Desplanque, Ludovic/0000-0002-2197-4408; Martins, Frederico/0000-0003-2668-2401</t>
  </si>
  <si>
    <t>0094-243X</t>
  </si>
  <si>
    <t>978-0-7354-1194-4</t>
  </si>
  <si>
    <t>10.1063/1.4848369</t>
  </si>
  <si>
    <t>WOS:000331793000114</t>
  </si>
  <si>
    <t>dos Reis, RB; Aguilar-Ponce, JL; Cayol, F; Jansen, AM; Manneh, KR; Merino, TR; Sanku, G; Vaca, LB; Velho, PI; Korbenfeld, EP</t>
  </si>
  <si>
    <t>dos Reis, Rodolfo Borges; Aguilar-Ponce, Jose L.; Cayol, Federico; Jansen, Angela M.; Manneh, K. Ray; Merino, Tomas R.; Sanku, Gayatri; Vaca, Laura B.; Velho, Pedro Isaacsson; Korbenfeld, Ernesto P.</t>
  </si>
  <si>
    <t>Latin American Challenges and Recommendations for Poly Adenosine Diphosphate Ribose Polymerase Inhibitor Treatment in Metastatic Castration Resistant Prostate Cancer: An Expert Overview</t>
  </si>
  <si>
    <t>CANCER CONTROL</t>
  </si>
  <si>
    <t>In Latin America, prostate cancer is the third most common cancer overall and the most common in men, with the highest mortality rate of all cancers. In 2022, there were approximately 22,985 new prostate cancer cases and 61,056 deaths from prostate cancer in the region. Patients with metastatic disease that is resistant to cure by castration now have multiple therapeutic options, including poly-ADP ribose polymerase inhibitors. These treatment advances present new challenges, such as developing monitoring protocols for early detection of disease progression to castration resistance. The Americas Health Foundation organized a 3-day meeting with 8 regional oncologists and pathologists to create a paper on metastatic castration-resistant prostate cancer diagnosis and therapy, including the new poly-ADP ribose polymerase inhibitors. The panel examined metastatic castration-resistant prostate cancer in Latin America and recommended ways to improve patient care using published literature and their expertise. Gene mutations play an important role in prostate cancer development. Precision medicine innovations highlight the importance of genotyping DNA variants and tumor biomarkers for targeted treatment. Access to appropriate genetic testing is difficult, medications are available but expensive, and there is a lack of infrastructure and regulatory frameworks that prevent patients from benefiting from innovative therapies. The panel recommends developing a population database and biobank and creating tumor tissue collection, processing, and storage facilities. Multi-stakeholder collaboration is needed to integrate the information gathered, train staff, select target populations, improve patient accessibility, and reduce the cost burden of drugs, genetic counselors, and cancer geneticists in Latin America. Collaboration is essential among healthcare professionals, policymakers, patient advocacy groups, pharmaceutical companies, and international organizations to address these challenges and needs in Latin America.</t>
  </si>
  <si>
    <t>Merino, Tomas/AAE-4664-2022; Korbenfeld, Ernesto/LGC-3405-2024; Reis, Rodolfo/F-5877-2014</t>
  </si>
  <si>
    <t>Jamsem, Angela Marie/0000-0003-2980-2421; Reis, Rodolfo/0000-0003-0328-1840</t>
  </si>
  <si>
    <t>1073-2748</t>
  </si>
  <si>
    <t>1526-2359</t>
  </si>
  <si>
    <t>10.1177/10732748241280446</t>
  </si>
  <si>
    <t>WOS:001345110700001</t>
  </si>
  <si>
    <t>Fuster, F; Peirano, F; Vargas, JI; Zamora, FX; López-Lastra, M; Núñez, R; Soza, J; González, K; Estay, D; Barchiesi, B; Fuster, A; López, I; Utrera, N; Landeros, J; Chandía, J; Paredes, A; Reyes, D; Arias, R; Padilla, L; Suárez, H; Farcas, K; Cannistra, M; Muñoz, G; Rodríguez, I; Ormazábal, I; Cortés, J; Cornejo, B; Manzur, F; Reyes, A; Leiva, V; Raimann, MV; Arrau, C; Cox, V; Soza, A</t>
  </si>
  <si>
    <t>Fuster, Francisco; Peirano, Felipe; Ignacio Vargas, Jose; Xavier Zamora, Francisco; Lopez-Lastra, Marcelo; Nunez, Ruth; Soza, Jacinta; Gonzalez, Katherine; Estay, Denisse; Barchiesi, Beatrice; Fuster, Antonieta; Lopez, Ignacia; Utrera, Nicolas; Landeros, Jorge; Chandia, Javiera; Paredes, Angela; Reyes, Daniela; Arias, Rodrigo; Padilla, Luis; Suarez, Hernan; Farcas, Katia; Cannistra, Macarena; Munoz, Geraldine; Rodriguez, Ignacio; Ormazabal, Ivana; Cortes, Josefina; Cornejo, Barbara; Manzur, Franco; Reyes, Antonia; Leiva, Vicente; Raimann, Maria Victoria; Arrau, Catalina; Cox, Valentina; Soza, Alejandro</t>
  </si>
  <si>
    <t>Infectious and non-infectious diseases burden among Haitian immigrants in Chile: a cross-sectional study</t>
  </si>
  <si>
    <t>Chile has become a popular destination for migrants from South America and the Caribbean (low- and middle-income countries migration). Close to 200.000 Haitian migrants have arrived in Chile. Infectious and non-infectious disease burden among the Haitian adult population living in Chile is unknown. This study aimed to acquire the basic health information (selected transmissible and non-transmissible conditions) of the Haitian adult population living in Chile. A cross-sectional survey was performed, inviting Haitian-born residents in Chile older than 18 years old. Common conditions and risk factors for disease were assessed, as well as selected transmissible conditions (HIV, HBV, and HCV). 498 participants (60.4% female) from 10 communities in two regions of Chile were surveyed. Most subjects had never smoked (91.5%), and 80% drank less than one alcohol unit per month. The mean BMI was 25.6, with 45% of participants having a normal BMI (20-25). Hypertension was present in 31.5% (33% in the 25-44 age group). Prevalence of HIV was 2.4% (95 CI 1.3-4.2%), hepatitis B (HBsAg positive) was 3.4% (95 CI 2.1-5.5%), and hepatitis C was 0% (95 CI 0.0-0.9%). Quality of life showed a significant prevalence of depression and anxiety markers, particularly in those arriving in Chile less than 1 year ago. Low prevalence of obesity, diabetes, smoking, and drinking and estimated cardiovascular risk were found. Nonetheless, hypertension at a younger age, disproportionately higher prevalence of HIV and HBV infection and frequent markers of anxiety and depression were also found. Public policies for detecting and treating hypertension, HIV, and HBV screening, offering HBV vaccination, and organizing mental health programs for Haitian immigrants, are urgently needed.</t>
  </si>
  <si>
    <t>Reyes, Arturo/HPE-5819-2023; Vargas, Jose Ignacio/GWZ-5719-2022; Rodriguez-Rodriguez, Ignacio/AAB-4991-2021; Lopez-Lastra, Marcelo/HHM-9832-2022; Rojas, Katherine/GRJ-2722-2022</t>
  </si>
  <si>
    <t>Vargas, Jose Ignacio/0000-0002-1547-2292</t>
  </si>
  <si>
    <t>10.1038/s41598-020-78970-3</t>
  </si>
  <si>
    <t>WOS:000603258300084</t>
  </si>
  <si>
    <t>Brown, K; Car, PE; Vega, A; Venegas-Yazigi, D; Paredes-García, V; Vaz, MGF; Allao, RA; Pivan, JY; Le Fur, E; Spodine, E</t>
  </si>
  <si>
    <t>Brown, Kareen; Car, Pierre Emmanuel; Vega, Andres; Venegas-Yazigi, Diego; Paredes-Garcia, Veronica; Vaz, Maria G. F.; Allao, Rafael A.; Pivan, Jean-Yves; Le Fur, Eric; Spodine, Evgenia</t>
  </si>
  <si>
    <t>Polyoxometalate cluster [V12B18O60H6] functionalized with the copper(II) bis-ethylenediamine complex</t>
  </si>
  <si>
    <t>Three compounds based on the polyoxometalate building block [V12B18O60H6], (Na)(10)[(H2O)V12B18O60H6]center dot 18H(2)O (1), Na-8[Cu(en)(2)](2)[V12B18O60H6](NO3)(2)center dot 14.7H(2)O (2), Na-7[Cu(en)(2)](2)[V12B18O60H6] (NO3)center dot 15.5H(2)O (3), (en = ethylenediamine), have been hydrothermally synthesized and characterized by single-crystal X-ray diffraction analysis and TGA. Compound 1 consists of polyoxovanadium borate [V12B18O60H6] clusters which are surrounded by sodium countercations in octahedral sites, stabilized by electrostatic interactions with the oxygen atoms of both vanadium and boron centres. However, compounds 2 and 3 correspond to more complicated structures, constructed from the same polyoxometalate clusters, which are interconnected by [Cu(en)(2)](2+) moieties via the terminal oxygen atoms of the polyoxoanions, generating one-dimensional structures. The functionalization of this polyoxovanadium borate cluster has been obtained by the use of [Cu(en)(2)](2+) complex ions, thus demonstrating the capacity of the terminal oxygen atoms of the cluster to bind transition metal centres. The structural stability of the [V12B18O60H6] cluster permits the formation of functionalized polyoxometalate clusters, generating various crystalline lattices. (C) 2010 Elsevier B.V. All rights reserved.</t>
  </si>
  <si>
    <t>Cassaro, Rafael/L-4742-2018; Paredes-Garcia, Veronica/C-4415-2011; Vega, Andres/B-2122-2010; brown, kareen/A-2558-2013; Vaz, Maria/J-2908-2012; Venegas-Yazigi, Diego/C-5022-2009</t>
  </si>
  <si>
    <t>Vaz, Maria/0000-0001-9855-5909; Vega, Andres/0000-0001-6501-4161; Venegas-Yazigi, Diego/0000-0001-7816-2841; Cassaro, Rafael/0000-0002-0789-2561</t>
  </si>
  <si>
    <t>FEB 28</t>
  </si>
  <si>
    <t>10.1016/j.ica.2010.11.045</t>
  </si>
  <si>
    <t>WOS:000286930000004</t>
  </si>
  <si>
    <t>Ramirez-Campillo, R; Garcia-Hermoso, A; Moran, J; Chaabene, H; Negra, Y; Scanlan, AT</t>
  </si>
  <si>
    <t>Ramirez-Campillo, Rodrigo; Garcia-Hermoso, Antonio; Moran, Jason; Chaabene, Helmi; Negra, Yassine; Scanlan, Aaron T.</t>
  </si>
  <si>
    <t>The effects of plyometric jump training on physical fitness attributes in basketball players: A meta-analysis</t>
  </si>
  <si>
    <t>Background: There is a growing body of experimental evidence examining the effects of plyometric jump training (PJT) on physical fit-ness attributes in basketball players; however, this evidence has not yet been comprehensively and systematically aggregated. Therefore, our objective was to meta-analyze the effects of PJT on physical fitness attributes in basketball players, in comparison to a control condition.Methods: A systematic literature search was conducted in the databases PubMed, Web of Science, and Scopus, up to July 2020. Peer-reviewed controlled trials with baseline and follow-up measurements investigating the effects of PJT on physical fitness attributes (muscle power, i.e., jumping performance, linear sprint speed, change-of-direction speed, balance, and muscle strength) in basketball players, with no restrictions on their playing level, sex, or age. Hedge's g effect sizes (ES) were calculated for physical fitness variables. Using a random-effects model, potential sources of heterogeneity were selected, including subgroup analyses (age, sex, body mass, and height) and single training factor analysis (program duration, training frequency, and total number of training sessions). Computation of meta -regression was also performed.Results: Thirty-two studies were included, involving 818 total basketball players. Significant (p &lt; 0.05) small-to-large effects of PJT were evident on vertical jump power (ES = 0.45), countermovement jump height with (ES = 1.24) and without arm swing (ES = 0.88), squat jump height (ES = 0.80), drop jump height (ES = 0.53), horizontal jump distance (ES = 0.65), linear sprint time across distances &lt;10 m (ES = 1.67) and &gt;10 m (ES = 0.92), change-of-direction performance time across distances &lt;40 m (ES =1.15) and &gt;40 m (ES = 1.02), dynamic (ES =1.16) and static balance (ES = 1.48), and maximal strength (ES = 0.57). The meta-regression revealed that training duration, training frequency, and total number of sessions completed did not predict the effects of PJT on physical fitness attributes. Subgroup analysis indicated greater improvements in older compared to younger players in horizontal jump distance (&gt;17.15 years, ES =2.11; &lt;17.15 years, ES = 0.10; p &lt; 0.001), linear sprint time &gt;10 m (&gt;16.3 years, ES =1.83; &lt;16.3 years, ES = 0.36; p = 0.010), and change-of-direction performance time &lt;40 m (&gt;16.3 years, ES = 1.65; &lt;16.3 years, ES = 0.75; p = 0.005). Greater increases in horizontal jump distance were apparent with &gt;2 compared with &lt;2 weekly PJT sessions (ES = 2.12 and ES = 0.39, respectively; p &lt; 0.001).Conclusion: Data from 32 studies (28 of which demonstrate moderate-to-high methodological quality) indicate PJT improves muscle power, lin-ear sprint speed, change-of-direction speed, balance, and muscle strength in basketball players independent of sex, age, or PJT program variables. However, the beneficial effects of PJT as measured by horizontal jump distance, linear sprint time &gt;10 m, and change-of-direction performance time &lt;40 m, appear to be more evident among older basketball players.</t>
  </si>
  <si>
    <t>Negra, yassine/AAR-4942-2020; Chaabene, Helmi/I-7317-2019; García-Hermoso, Antonio/ADU-2591-2022; Moran, Jason/AAJ-1208-2020; Ramirez-Campillo, Rodrigo/M-1258-2016; Garcia-Hermoso, Antonio/P-1857-2017</t>
  </si>
  <si>
    <t>Ramirez-Campillo, Rodrigo/0000-0003-2035-3279; Moran, Jason/0000-0001-7452-6855; Garcia-Hermoso, Antonio/0000-0002-1397-7182</t>
  </si>
  <si>
    <t>10.1016/j.jshs.2020.12.005</t>
  </si>
  <si>
    <t>WOS:000899360200005</t>
  </si>
  <si>
    <t>Paternina-Caicedo, A; Smith, AD; Buchanich, J; Garcia-Calavaro, C; Alvis-Guzman, N; Narvaez, J; de Oliveira, LH; De la Hoz-restrepo, F</t>
  </si>
  <si>
    <t>Paternina-Caicedo, Angel; Smith, Adrian D.; Buchanich, Jeanine; Garcia-Calavaro, Christian; Alvis-Guzman, Nelson; Narvaez, Javier; de Oliveira, Lucia Helena; De la Hoz-restrepo, Fernando</t>
  </si>
  <si>
    <t>Reductions in Childhood Pneumonia Mortality After Vaccination in the United States</t>
  </si>
  <si>
    <t>PEDIATRIC INFECTIOUS DISEASE JOURNAL</t>
  </si>
  <si>
    <t>Background:We aim to estimate the magnitude of the reduction in pneumococcal pneumonia and meningitis mortality after the mass introduction of pneumococcal conjugate vaccine (PCV)7 and PCV13 in children in the United States. Methods:We assessed the trends in mortality rates from pneumococcal pneumonia and meningitis, in the United States between 1994 and 2017. We fitted an interrupted time-series negative binomial regression model (adjusted by trend, seasonality, PCV7/PCV13 coverage, and H. influenzae type b vaccine coverage) to estimate the counterfactual rates without vaccination. We reported a percent reduction in mortality estimates relative to the projected no-vaccination scenario, using the formula 1 minus the incidence risk ratio, with 95% confidence intervals (CIs). Results:Between 1994 and 1999 (the prevaccination period), the all-cause pneumonia mortality rate for 0-1-month-old children was 2.55 per 100,00 pop., whereas for 2-11 months-old children, this rate was 0.82 deaths per 100,000 pop. During the PCV7-period in 0-59-month-old children in the United States, the adjusted reduction of all-cause pneumonia was 13% (95% CI: 4-21) and 19% (95% CI: 0-33) of all-cause meningitis For PCV13, the reductions in this age group were 21% (95% CI: 4-35) for all-cause pneumonia mortality and 22% (95% CI: -19 to 48) for all-cause meningitis mortality. PCV13 had greater reductions of all-cause pneumonia than PCV13 in 6-11-month-old infants. Conclusions:The universal introduction of PCV7, and later PCV13, for children 0-59 months old in the United States was associated with decreases in mortality due to all-cause pneumonia.</t>
  </si>
  <si>
    <t>Alvis Guzman, Nelson/D-4913-2013; Oliveira, Lúcia/B-8478-2012; Garcia, Christian/KLY-8785-2024; Smith, Adrian/A-6336-2009; Paternina-Caicedo, Angel/N-4496-2015; Narvaez, Javier/C-6647-2017</t>
  </si>
  <si>
    <t>Garcia, Christian/0000-0001-9010-2614; DE LA HOZ RESTREPO, FERNANDO/0000-0001-9436-7935; Paternina-Caicedo, Angel/0000-0002-6332-5174; Smith, Adrian/0000-0003-0036-1490; Alvis-Guzman, Nelson/0000-0001-9458-864X; Narvaez, Javier/0000-0002-3057-7914</t>
  </si>
  <si>
    <t>0891-3668</t>
  </si>
  <si>
    <t>1532-0987</t>
  </si>
  <si>
    <t>10.1097/INF.0000000000003971</t>
  </si>
  <si>
    <t>WOS:001031771000032</t>
  </si>
  <si>
    <t>Cordero, RR; Feron, S; Damiani, A; Redondas, A; Carrasco, J; Sepúlveda, E; Jorquera, J; Fernandoy, F; Llanillo, P; Rowe, PM; Seckmeyer, G</t>
  </si>
  <si>
    <t>Cordero, Raul R.; Feron, Sarah; Damiani, Alessandro; Redondas, Alberto; Carrasco, Jorge; Sepulveda, Edgardo; Jorquera, Jose; Fernandoy, Francisco; Llanillo, Pedro; Rowe, Penny M.; Seckmeyer, Gunther</t>
  </si>
  <si>
    <t>Persistent extreme ultraviolet irradiance in Antarctica despite the ozone recovery onset</t>
  </si>
  <si>
    <t>Attributable to the Montreal Protocol, the most successful environmental treaty ever, human-made ozone-depleting substances are declining and the stratospheric Antarctic ozone layer is recovering. However, the Antarctic ozone hole continues to occur every year, with the severity of ozone loss strongly modulated by meteorological conditions. In late November and early December 2020, we measured at the northern tip of the Antarctic Peninsula the highest ultraviolet (UV) irradiances recorded in the Antarctic continent in more than two decades. On Dec. 2nd, the noon-time UV index on King George Island peaked at 14.3, very close to the largest UV index ever recorded in the continent. On Dec. 3rd, the erythemal daily dose at the same site was among the highest on Earth, only comparable to those recorded at high altitude sites in the Atacama Desert, near the Tropic of Capricorn. Here we show that, despite the Antarctic ozone recovery observed in early spring, the conditions that favor these extreme surface UV events persist in late spring, when the biologically effective UV radiation is more consequential. These conditions include long-lasting ozone holes (attributable to the polar vortex dynamics) that often bring ozone-depleted air over the Antarctic Peninsula in late spring. The fact that these conditions have been occurring at about the same frequency during the last two decades explains the persistence of extreme surface UV events in Antarctica.</t>
  </si>
  <si>
    <t>Redondas, Alberto/L-9299-2015; Cordero, Raul/M-7979-2017; Damiani, Alessandro/X-4677-2019; Llanillo, Pedro/L-5877-2015; Carrasco, Jorge/K-2949-2014</t>
  </si>
  <si>
    <t>Damiani, Alessandro/0000-0003-3014-6193; Llanillo, Pedro/0000-0002-9308-501X; Feron, Sarah/0000-0002-0572-5639; Carrasco, Jorge/0000-0003-2154-5483; Rowe, Penny/0000-0002-7594-0553; Cordero, Raul R./0000-0001-7607-7993</t>
  </si>
  <si>
    <t>10.1038/s41598-022-05449-8</t>
  </si>
  <si>
    <t>WOS:000746700700006</t>
  </si>
  <si>
    <t>Bustamante-Garrido, A; Aedo-Muñoz, E; Brito, C; Silva-Esparza, D; Pérez-Contreras, J; Izquierdo-Redin, M; Cerda-Kohler, H</t>
  </si>
  <si>
    <t>Bustamante-Garrido, Alejandro; Aedo-Munoz, Esteban; Brito, Ciro; Silva-Esparza, Danilo; Perez-Contreras, Jorge; Izquierdo-Redin, Mikel; Cerda-Kohler, Hugo</t>
  </si>
  <si>
    <t>Anthropometric and mechanical factors determining sprint in young soccer players: a brief report</t>
  </si>
  <si>
    <t>FRONTIERS IN SPORTS AND ACTIVE LIVING</t>
  </si>
  <si>
    <t>Sprint performance is a critical factor in soccer. While previous studies have extensively explored the biomechanical, physiological, and metabolic determinants of sprinting, the impact of anthropometric variables in team sports contexts, especially soccer, remains underexplored. This study aims to investigate the influence of anthropometric and mechanical variables on sprint performance in young soccer players. Fifty-eight young soccer players were evaluated in anthropometry and a 30-meter (m) sprint using radar technology. Split times in 5, 15, and 30 m were determined, in addition to the assessment of the force-velocity profile proposed by Morin and Samozino. Results: Key anthropometric variables associated with improved sprint performance included lower-limb muscle mass at distances 5 and 15 m (R2 = 0.08 and R2 = 0.09, respectively, both with small effects). Additionally, body composition, particularly a lower % body fat, was crucial across all sprint distances (ES: large). Among the mechanical variables, max power (R2 = 0.997, ES: large) and maximum velocity (R2 = 0.553, ES: large) are the mechanical variables that were most strongly associated with sprint performance over distances greater than 30 m. Soccer coaches, athletic trainers, and strength and conditioning specialists working with young athletes can apply the findings of this study to their training programming.</t>
  </si>
  <si>
    <t>Izquierdo, Mikel/A-4894-2010; Aedo-Muñoz, Esteban/R-5623-2019; Brito, Ciro/AAC-9104-2019</t>
  </si>
  <si>
    <t>2624-9367</t>
  </si>
  <si>
    <t>10.3389/fspor.2024.1480973</t>
  </si>
  <si>
    <t>WOS:001348533300001</t>
  </si>
  <si>
    <t>Rivera, MND; Amoruso, L; Bocanegra, Y; Suárez, JX; Moreno, L; Muñoz, E; Birba, A; García, AM</t>
  </si>
  <si>
    <t>Rivera, Mariano N. Diaz; Amoruso, Lucia; Bocanegra, Yamile; Suarez, Jazmin X.; Moreno, Leonardo; Munoz, Edinson; Birba, Agustina; Garcia, Adolfo M.</t>
  </si>
  <si>
    <t>Electrophysiological alterations during action semantic processing in Parkinson's disease</t>
  </si>
  <si>
    <t>NEUROBIOLOGY OF AGING</t>
  </si>
  <si>
    <t>Assessments of action semantics consistently reveal markers of Parkinson's disease (PD). However, neurophysiological signatures of the domain remain under-examined in this population, especially under conditions that allow patients to process stimuli without stringent time constraints. Here we assessed event-related potentials and time -frequency modulations in healthy individuals (HPs) and PD patients during a delayed-response semantic judgment task involving related and unrelated action-picture pairs. Both groups had shorter response times for related than for unrelated trials, but they exhibited discrepant electrophysiological patterns. HPs presented significantly greater N400 amplitudes as well as theta enhancement and mu desynchronization for unrelated relative to related trials. Conversely, N400 and theta modulations were abolished in the patients, who further exhibited a contralateralized cluster in the mu range. None of these patterns were associated with the participants' cognitive status. Our results suggest that PD involves multidimensional neurophysiological disruptions during action-concept processing, even under task conditions that elicit canonical behavioral effects. New constraints thus emerge for translational neurocognitive models of the disease.</t>
  </si>
  <si>
    <t>Birba, Agustina/AFR-3037-2022; Amoruso, Lucía/V-3127-2017; García, Adolfo/E-7150-2017</t>
  </si>
  <si>
    <t>Birba, Agustina/0000-0001-5998-6634; Amoruso, Lucia/0000-0003-4696-2187</t>
  </si>
  <si>
    <t>0197-4580</t>
  </si>
  <si>
    <t>1558-1497</t>
  </si>
  <si>
    <t>10.1016/j.neurobiolaging.2024.01.001</t>
  </si>
  <si>
    <t>WOS:001183738700001</t>
  </si>
  <si>
    <t>Leiva, LE; Pincheira, A; Elgamal, S; Kienast, SD; Bravo, V; Leufken, J; Gutiérrez, D; Leidel, SA; Ibba, M; Katz, A</t>
  </si>
  <si>
    <t>Leiva, Lorenzo Eugenio; Pincheira, Andrea; Elgamal, Sara; Kienast, Sandra D.; Bravo, Veronica; Leufken, Johannes; Gutierrez, Daniela; Leidel, Sebastian A.; Ibba, Michael; Katz, Assaf</t>
  </si>
  <si>
    <t>Modulation of Escherichia coli Translation by the Specific Inactivation of tRNAGly Under Oxidative Stress</t>
  </si>
  <si>
    <t>FRONTIERS IN GENETICS</t>
  </si>
  <si>
    <t>Bacterial oxidative stress responses are generally controlled by transcription factors that modulate the synthesis of RNAs with the aid of some sRNAs that control the stability, and in some cases the translation, of specific mRNAs. Here, we report that oxidative stress additionally leads to inactivation of tRNA(Gly)inEscherichia coli, inducing a series of physiological changes. The observed inactivation of tRNA(Gly)correlated with altered efficiency of translation of Gly codons, suggesting a possible mechanism of translational control of gene expression under oxidative stress. Changes in translation also depended on the availability of glycine, revealing a mechanism whereby bacteria modulate the response to oxidative stress according to the prevailing metabolic state of the cells.</t>
  </si>
  <si>
    <t>Elgamal, Sara/GQH-4293-2022; Katz, Assaf/K-7130-2018; Bravo, Verónica/JEF-1632-2023; Leidel, Sebastian/K-9507-2019; Leiva, Lorenzo Eugenio/JWO-3288-2024</t>
  </si>
  <si>
    <t>Kienast, Sandra Denise/0000-0002-7843-4293; Leidel, Sebastian/0000-0002-0523-6325; Elgamal, Sara/0000-0003-2274-9891; Leiva, Lorenzo Eugenio/0000-0002-0951-0897; Katz, Assaf/0000-0001-5481-7399</t>
  </si>
  <si>
    <t>1664-8021</t>
  </si>
  <si>
    <t>AUG 18</t>
  </si>
  <si>
    <t>10.3389/fgene.2020.00856</t>
  </si>
  <si>
    <t>WOS:000567930500001</t>
  </si>
  <si>
    <t>Gabrielli, L; Ocaranza, MP; Sitges, M; Kanacri, A; Saavedra, R; Sepulveda, P; Sepulveda, L; Rossel, V; Zagolin, M; Verdejo, HE; Baraona, F; Zalaquett, R; Chiong, M; Lavandero, S; Castro, PF</t>
  </si>
  <si>
    <t>Gabrielli, Luigi; Paz Ocaranza, Maria; Sitges, Marta; Kanacri, Andres; Saavedra, Rodrigo; Sepulveda, Pablo; Sepulveda, Luis; Rossel, Victor; Zagolin, Monica; Verdejo, Hugo E.; Baraona, Fernando; Zalaquett, Ricardo; Chiong, Mario; Lavandero, Sergio; Castro, Pablo F.</t>
  </si>
  <si>
    <t>Acute effect of iloprost inhalation on right atrial function and ventricular dyssynchrony in patients with pulmonary artery hypertension</t>
  </si>
  <si>
    <t>ECHOCARDIOGRAPHY-A JOURNAL OF CARDIOVASCULAR ULTRASOUND AND ALLIED TECHNIQUES</t>
  </si>
  <si>
    <t>BackgroundRight atrium function and ventricular function have significant prognostic value in pulmonary arterial hypertension patients. Acute changes in right ventricular synchrony and right atrium function postiloprost inhalation have not been evaluated. MethodsCross-sectional study. Consecutive pulmonary arterial hypertension patients (group I from Nice classification) were included. Echocardiographic right atrium and right ventricular function pre- and postiloprost inhalation, including a right ventricular dyssynchrony index and right atrium function using speckle tracking, were performed in all patients. ResultsTwenty pulmonary arterial hypertension patients, 447years and 90% females, were included. After iloprost inhalation, we observed a significant increment in right ventricular fractional area change and a significant decrease in right ventricular dyssynchrony index (21.4 +/- 5.6% vs 26.1 +/- 4.0%, P=.007 and 79 +/- 44 vs 32 +/- 22mseconds, P&lt;.01, respectively), also an improvement in right atrium reservoir function (8.6 +/- 3.1% vs 11.7 +/- 3.5%, P=.002). ConclusionsIloprost inhalation induces acute changes in right ventricular function, dyssynchrony, and right atrium performance that may add relevant clinical information in the management and risk stratification of pulmonary arterial hypertension patients.</t>
  </si>
  <si>
    <t>Ocaranza, Maria/AAC-6265-2019; Lavandero, Sergio/B-6001-2013; Sepúlveda, Pablo/GXF-5175-2022; Verdejo, Hugo/G-4436-2014; Chiong, Mario/I-1043-2013</t>
  </si>
  <si>
    <t>Gabrielli Nervi, Luigi/0000-0002-1551-7147; Castro Galvez, Pablo/0000-0002-9320-1703; Verdejo, Hugo E./0000-0003-0078-4792; Ocaranza, Maria/0000-0002-4915-6378; Chiong, Mario/0000-0002-5174-6545</t>
  </si>
  <si>
    <t>0742-2822</t>
  </si>
  <si>
    <t>1540-8175</t>
  </si>
  <si>
    <t>10.1111/echo.13401</t>
  </si>
  <si>
    <t>WOS:000395406000007</t>
  </si>
  <si>
    <t>Monrás, JP; Collao, B; Molina-Quiroz, RC; Pradenas, GA; Saona, LA; Durán-Toro, V; Ordenes-Aenishanslins, N; Venegas, FA; Loyola, DE; Bravo, D; Calderón, PF; Calderón, IL; Vásquez, CC; Chasteen, TG; Lopez, DA; Pérez-Donoso, JM</t>
  </si>
  <si>
    <t>Monras, Juan P.; Collao, Bernardo; Molina-Quiroz, Roberto C.; Pradenas, Gonzalo A.; Saona, Luis A.; Duran-Toro, Vicente; Ordenes-Aenishanslins, Nicolas; Venegas, Felipe A.; Loyola, David E.; Bravo, Denisse; Calderon, Paulina F.; Calderon, Ivan L.; Vasquez, Claudio C.; Chasteen, Thomas G.; Lopez, Desire A.; Perez-Donoso, Jose M.</t>
  </si>
  <si>
    <t>Microarray analysis of the Escherichia coli response to CdTe-GSH Quantum Dots: understanding the bacterial toxicity of semiconductor nanoparticles</t>
  </si>
  <si>
    <t>BMC GENOMICS</t>
  </si>
  <si>
    <t>Background: Most semiconductor nanoparticles used in biomedical applications are made of heavy metals and involve synthetic methods that require organic solvents and high temperatures. This issue makes the development of water-soluble nanoparticles with lower toxicity a major topic of interest. In a previous work our group described a biomimetic method for the aqueous synthesis of CdTe-GSH Quantum Dots (QDs) using biomolecules present in cells as reducing and stabilizing agents. This protocol produces nanoparticles with good fluorescent properties and less toxicity than those synthesized by regular chemical methods. Nevertheless, biomimetic CdTe-GSH nanoparticles still display some toxicity, so it is important to know in detail the effects of these semiconductor nanoparticles on cells, their levels of toxicity and the strategies that cells develop to overcome it. Results: In this work, the response of E. coli exposed to different sized-CdTe-GSH QDs synthesized by a biomimetic protocol was evaluated through transcriptomic, biochemical, microbiological and genetic approaches. It was determined that: i) red QDs (5 nm) display higher toxicity than green (3 nm), ii) QDs mainly induce expression of genes involved with Cd+2 stress (zntA and znuA) and tellurium does not contribute significantly to QDs-mediated toxicity since cells incorporate low levels of Te, iii) red QDs also induce genes related to oxidative stress response and membrane proteins, iv) Cd2+ release is higher in red QDs, and v) QDs render the cells more sensitive to polymyxin B. Conclusion: Based on the results obtained in this work, a general model of CdTe-GSH QDs toxicity in E. coli is proposed. Results indicate that bacterial toxicity of QDs is mainly associated with cadmium release, oxidative stress and loss of membrane integrity. The higher toxicity of red QDs is most probably due to higher cadmium content and release from the nanoparticle as compared to green QDs. Moreover, QDs-treated cells become more sensitive to polymyxin B making these biomimetic QDs candidates for adjuvant therapies against bacterial infections.</t>
  </si>
  <si>
    <t>Chasteen, Thomas/B-6601-2009; Collao, Bernardo/I-8301-2014; Saona, Luis A./AFY-6283-2022; Molina-Quiroz, Roberto/H-4696-2019; Calderón, Iván/HJP-5156-2023; Perez-Donoso, Jose/G-3668-2013</t>
  </si>
  <si>
    <t>Saona, Luis Alberto/0000-0002-7739-8614; Perez-Donoso, Jose/0000-0002-9506-1716; Loyola, David/0000-0003-4532-6373</t>
  </si>
  <si>
    <t>1471-2164</t>
  </si>
  <si>
    <t>DEC 12</t>
  </si>
  <si>
    <t>10.1186/1471-2164-15-1099</t>
  </si>
  <si>
    <t>WOS:000346672000001</t>
  </si>
  <si>
    <t>Riquelme, R; Rezende, LFM; Guzmán-Habinger, J; Chávez, JL; Celis-Morales, C; Ferreccio, C; Ferrari, G</t>
  </si>
  <si>
    <t>Riquelme, Ricardo; Rezende, Leandro F. M.; Guzman-Habinger, Juan; Chavez, Javiera L.; Celis-Morales, Carlos; Ferreccio, Catterina; Ferrari, Gerson</t>
  </si>
  <si>
    <t>Non-communicable diseases deaths attributable to high body mass index in Chile</t>
  </si>
  <si>
    <t>We estimated the proportion and number of deaths from non-communicable diseases (NCD) attributable to high body mass index (BMI) in Chile in 2018. We used data from 5927 adults from a 2016-2017 Chilean National Health Survey to describe the distribution of BMI. We obtained the number of deaths from NCD from the Ministry of Health. Relative risks (RR) and 95% confidence intervals per 5 units higher BMI for cardiovascular disease, cancer, and respiratory disease were retrieved from the Global BMI Mortality Collaboration meta-analyses. The prevalences of overweight and obesity were 38.9% and 39.1%, respectively. We estimated that reducing population-wide BMI to a theoretical minimum risk exposure level (mean BMI: 22.0 kg/m(2); standard deviation: 1) could prevent approximately 21,977 deaths per year (95%CI 13,981-29,928). These deaths represented about 31.6% of major NCD deaths (20.1-43.1) and 20.4% of all deaths (12.9-27.7) that occurred in 2018. Most of these preventable deaths were from cardiovascular diseases (11,474 deaths; 95% CI 7302-15,621), followed by cancer (5597 deaths; 95% CI 3560-7622) and respiratory disease (4906 deaths; 95% CI 3119-6684). A substantial burden of NCD deaths was attributable to high BMI in Chile. Policies and population-wide interventions are needed to reduce the burden of NCD due to high BMI in Chile.</t>
  </si>
  <si>
    <t>Ferrari, Gerson/ABG-6635-2021; Ferrari, Gerson/P-1152-2014; Rezende, Leandro/C-1724-2012</t>
  </si>
  <si>
    <t>Guzman Habinger, Juan/0000-0003-2243-2528; Ferrari, Gerson/0000-0003-3177-6576; ferreccio, catterina/0000-0001-6331-5534; Riquelme, Ricardo/0009-0003-3277-1301; Rezende, Leandro/0000-0002-7469-1399</t>
  </si>
  <si>
    <t>JUL 29</t>
  </si>
  <si>
    <t>10.1038/s41598-021-94974-z</t>
  </si>
  <si>
    <t>WOS:000681066000091</t>
  </si>
  <si>
    <t>Bonafé, FP; Aradi, B; Hourahine, B; Medrano, CR; Hernández, FJ; Frauenheim, T; Sánchez, CG</t>
  </si>
  <si>
    <t>Bonafe, Franco P.; Aradi, Balint; Hourahine, Ben; Medrano, Carlos R.; Hernandez, Federico J.; Frauenheim, Thomas; Sanchez, Cristian G.</t>
  </si>
  <si>
    <t>A Real-Time Time-Dependent Density Functional Tight-Binding Implementation for Semiclassical Excited State Electron-Nuclear Dynamics and Pump-Probe Spectroscopy Simulations</t>
  </si>
  <si>
    <t>JOURNAL OF CHEMICAL THEORY AND COMPUTATION</t>
  </si>
  <si>
    <t>The increasing need to simulate the dynamics of photoexcited molecular systems and nanosystems in the subpicosecond regime demands new efficient tools able to describe the quantum nature of matter at a low computational cost. By combining the power of the approximate DFTB method with the semiclassical Ehrenfest method for nuclear-electron dynamics, we have achieved a real-time time-dependent DFTB (TD-DFTB) implementation that fits such requirements. In addition to enabling the study of nuclear motion effects in photoinduced charge transfer processes, our code adds novel features to the realm of static and time-resolved computational spectroscopies. In particular, the optical properties of periodic materials such as graphene nanoribbons or the use of corrections such as the LDA+U and pseudo SIC methods to improve the optical properties in some systems can now be handled at the TD-DFTB level. Moreover, the simulation of fully atomistic time-resolved transient absorption spectra and impulsive vibrational spectra can now be achieved within reasonable computing time, owing to the good performance of the implementation and a parallel simulation protocol. Its application to the study of UV/visible light-induced vibrational coherences in molecules is demonstrated and opens a new door into the mechanisms of nonequilibrium ultrafast phenomena in countless materials with relevant applications.</t>
  </si>
  <si>
    <t>Aradi, Bálint/F-8440-2011; Hernandez, Federico Javier/P-8865-2018; Hourahine, Benjamin/S-7707-2017; Sanchez, Cristian/I-1248-2014</t>
  </si>
  <si>
    <t>Lien-Medrano, Carlos/0000-0001-7696-8366; Hernandez, Federico Javier/0000-0001-7497-9424; Hourahine, Benjamin/0000-0002-7667-7101; Bonafe, Franco/0000-0002-2069-6776; Sanchez, Cristian/0000-0001-7616-1802</t>
  </si>
  <si>
    <t>1549-9618</t>
  </si>
  <si>
    <t>1549-9626</t>
  </si>
  <si>
    <t>10.1021/acs.jctc.9b01217</t>
  </si>
  <si>
    <t>WOS:000607532300039</t>
  </si>
  <si>
    <t>Olivares-Faúndez, V; Galicia, FA; Montecinos, JP; Jélvez-Wilke, C; Morales-Gutiérrez, J; Silva, GR</t>
  </si>
  <si>
    <t>Olivares-Faundez, Victor; Arias Galicia, Fernando; Peralta Montecinos, Jennifer; Jelvez-Wilke, Carolina; Morales-Gutierrez, Jessica; Riquelme Silva, Guillermo</t>
  </si>
  <si>
    <t>THE ROLE OF GUILT IN THE RELATIONSHIP BETWEEN BURNOUT AND ABSENTEEISM WORK IN ADMINISTRATION AND INDUSTRIAL SERVICES WORKERS</t>
  </si>
  <si>
    <t>The exact nature of the relationship between burnout, guilt feelings and labor absenteeism are not clear. The objectives of this study were to investigate the relationship between burnout and inclination toward absenteeism, and the mediator role of feelings of guilt. The conflict roles, ambiguity of role and interpersonal conflicts were included as predictors of burnout. The sample of this study consisted of 172 Chilean service and administration workers. The hypotheses were tested using regression models and structural equations. The results did not validate the influence of burnout on inclination toward absenteeism. However, there was significant evidence and positive relationship between the psychic wear dimension and inclination toward absenteeism (beta=0.186; p &lt; 0.05). For its part, the model of hypothetical equations showed an adequate fit of the data, including the mediating role of guilt feelings in the relation between burnout and inclination toward absenteeism. The results recommend that the evaluation of guilt feelings be taken into account in order to develop more appropriate interventions.</t>
  </si>
  <si>
    <t>WOS:000464683100005</t>
  </si>
  <si>
    <t>Tolosa, JM; Schjenken, JE; Clifton, VL; Vargas, A; Barbeau, B; Lowry, P; Maiti, K; Smith, R</t>
  </si>
  <si>
    <t>Tolosa, J. M.; Schjenken, J. E.; Clifton, V. L.; Vargas, A.; Barbeau, B.; Lowry, P.; Maiti, K.; Smith, R.</t>
  </si>
  <si>
    <t>The endogenous retroviral envelope protein syncytin-1 inhibits LPS/PHA-stimulated cytokine responses in human blood and is sorted into placental exosomes</t>
  </si>
  <si>
    <t>PLACENTA</t>
  </si>
  <si>
    <t>Objectives: To examine whether syncytin-1 has immune regulatory functions and is carried by human placental exosomes. Further, to examine whether corticotropin-releasing hormone (CRH) can induce the production of syncytin-1. Study design: Human placental exosomes were isolated from placental explant, primary trophoblast and BeWo cell cultures. The presence of exosomes was confirmed by transmission electron microscopy and western blotting. Exosomal protein was probed with 3 separate antibodies targeting syncytin-1. Syncytin-1 immunosuppression was tested, using either a syncytin-1 recombinant ectodomain protein or a synthetic peptide with the human syncytin-1 immunosuppressive domain sequence, in an in vitro human blood culture system immune challenged with LPS or PHA. The inhibition of cytokine production by syncytin-1 was determined by ELISA of TNF-alpha, IFN-gamma and CXCL10. BeWo cells were stimulated with CRH or vehicle for 24 h. mRNA and Protein was extracted from the cells for real-time PCR and western blotting analysis while exosomes were extracted from conditioned media for analysis by western blotting. Results: Protein expression of syncytin-1 was detected in exosomes isolated from placental explants, primary trophoblast and BeWo cell cultures. Syncytin-1 recombinant ectodomain was also shown to inhibit the production of the Th1 cytokines TNF-alpha and IFN-gamma as well as the chemokine, CXCL10 in human blood cells. Finally, this study showed that syncytin-1 can be stimulated by CRH. Conclusions: The presence of syncytin-1 in placental exosomes provides a mechanism for syncytin-1 to reach and interact with target cells of the maternal immune system and represents a novel mechanism of endogenous retroviral mediated immunosuppression that may be relevant for maternal immune tolerance. (c) 2012 Elsevier Ltd. All rights reserved.</t>
  </si>
  <si>
    <t>Clifton, Vicki/AAV-2749-2021; Schjenken, John/ABB-8754-2021; Clifton, Vicki L./G-7094-2015</t>
  </si>
  <si>
    <t>Clifton, Vicki L./0000-0002-4892-6748; Schjenken, John/0000-0001-6293-6160; Smith, Roger/0000-0003-4720-0280</t>
  </si>
  <si>
    <t>0143-4004</t>
  </si>
  <si>
    <t>1532-3102</t>
  </si>
  <si>
    <t>10.1016/j.placenta.2012.08.004</t>
  </si>
  <si>
    <t>WOS:000310822300007</t>
  </si>
  <si>
    <t>Stingl-Zúñiga, I; Farías-Valenzuela, C; Ferrero-Hernández, P; Marques, A; Rezende, LFM; Castillo-Paredes, A; Cristi-Montero, C; Sadarangani, KP; Ferrari, G</t>
  </si>
  <si>
    <t>Stingl-Zuniga, Ignacio; Farias-Valenzuela, Claudio; Ferrero-Hernandez, Paloma; Marques, Adilson; Rezende, Leandro F. M.; Castillo-Paredes, Antonio; Cristi-Montero, Carlos; Sadarangani, Kabir P.; Ferrari, Gerson</t>
  </si>
  <si>
    <t>All-cause mortality attributable to sitting time and physical inactivity in chilean adults</t>
  </si>
  <si>
    <t>BMC PUBLIC HEALTH</t>
  </si>
  <si>
    <t>BackgroundEvidence on all-cause mortality attributable to joint sitting time and physical inactivity is lacking. In this study, we estimated the proportion and number of deaths attributable to sitting time and physical inactivity in Chilean adults.MethodsA sample of 5834 adults aged 20-96 years from a 2016-2017 Chilean National Health Survey was included to describe the prevalence of 16 joint categories of sitting time and physical activity. Relative risks for the joint association of sitting time and physical inactivity were obtained from a meta-analysis of individual participant data. We retrieved the number of deaths in adults &amp; GE; 20 years in 2019 from the Chilean Ministry of Health.ResultsParticipants with high sitting time (&gt; 8 h/day) and low physical activity (&lt; 2.5 MET-hour/week) were more likely to be women, 20-64 years, non-indigenous ethnicity, lived in the urban areas, had middle education level and monthly household income, and had public health insurance. Reducing sitting time and increasing physical activity to a theoretical minimum risk exposure level could prevent up to 11,470 deaths or 10.4% of all deaths. Increasing physical activity to &gt;35.5 MET-hour/week and maintaining sitting time could prevent approximately 10,477 deaths or 9.5% of all deaths. Reducing sitting time to &lt; 4 h/day and maintaining physical activity would not reduce the number of deaths (-3.4% or 38 deaths).ConclusionReducing sitting time may be ancillary for preventing mortality. Therefore, increasing physical activity should be the primary focus of interventions and policies in Chile.</t>
  </si>
  <si>
    <t>Castillo-Paredes, Antonio/HLP-6825-2023; Rezende, Leandro/C-1724-2012; Ferrari, Gerson/HHM-6173-2022; Cristi-Montero, Carlos/AAE-4945-2020; Marques, Adilson/K-4529-2014; Ferrari, Gerson/P-1152-2014</t>
  </si>
  <si>
    <t>Marques, Adilson/0000-0001-9850-7771; Ferrari, Gerson/0000-0003-3177-6576</t>
  </si>
  <si>
    <t>1471-2458</t>
  </si>
  <si>
    <t>10.1186/s12889-023-16467-0</t>
  </si>
  <si>
    <t>WOS:001044403900004</t>
  </si>
  <si>
    <t>Hernández-Jaña, S; Sanchez-Martinez, J; Solis-Urra, P; Esteban-Cornejo, I; Castro-Piñero, J; Sadarangani, KP; Aguilar-Farias, N; Ferrari, G; Cristi-Montero, C</t>
  </si>
  <si>
    <t>Hernandez-Jana, Sam; Sanchez-Martinez, Javier; Solis-Urra, Patricio; Esteban-Cornejo, Irene; Castro-Pinero, Jose; Sadarangani, Kabir P.; Aguilar-Farias, Nicolas; Ferrari, Gerson; Cristi-Montero, Carlos</t>
  </si>
  <si>
    <t>Mediation Role of Physical Fitness and Its Components on the Association Between Distribution-Related Fat Indicators and Adolescents' Cognitive Performance: Exploring the Influence of School Vulnerability. The Cogni-Action Project</t>
  </si>
  <si>
    <t>FRONTIERS IN BEHAVIORAL NEUROSCIENCE</t>
  </si>
  <si>
    <t>Background: Physical fitness and fatness converge simultaneously modulating cognitive skills, which in turn, are associated with children and adolescents' socioeconomic background. However, both fitness components and fat mass localization are crucial for understanding its implication at the cognitive level. Objective: This study aimed to determine the mediation role of a global physical fitness score and its components on the association between different fatness indicators related to fat distribution and adolescents' cognitive performance, and simultaneously explore the influence of school vulnerability. Methods: In this study, 1,196 Chilean adolescents participated (aged 10-14; 50.7% boys). Cardiorespiratory fitness (CRF), muscular fitness (MF), and speed-agility fitness (SAF) were evaluated, and a global fitness score (GFS) was computed adjusted for age and sex (CRF + MF + SAF z-scores). Body mass index z-score (BMIz), sum-of-4-skinfolds (4SKF), and waist-to-height ratio (WHtR) were used as non-specific, peripheral, and central adiposity indicators, respectively. A global cognitive score was computed based on eight tasks, and the school vulnerability index (SVI) was registered as high, mid or low. A total of 24 mediation analyses were performed according to two models, adjusted for sex and peak high velocity (Model 1), and adding the school vulnerability index (SVI) in Model 2. The significance level was set at p &lt; 0.05. Results: The fitness mediation role was different concerning the fatness indicators related to fat distribution analyzed. Even after controlling for SVI, CRF (22%), and SAF (29%), but not MF, mediated the association between BMIz and cognitive performance. Likewise, CRF, SAF and GFS, but not MF, mediated the association between WHtR and cognitive performance (38.6%, 31.9%, and 54.8%, respectively). No mediations were observed for 4SKF. Conclusion: The negative association between fatness and cognitive performance is mitigated by the level of adolescents' physical fitness, mainly CRF and SAF. This mediation role seems to be more consistent with a central fat indicator even in the presence of school vulnerability. Strategies promoting physical fitness would reduce the cognitive gap in children and adolescents related to obesity and school vulnerability.</t>
  </si>
  <si>
    <t>Sanchez-Martinez, Javier/AAN-3385-2021; Esteban-Cornejo, Irene/AGR-6997-2022; Cristi-Montero, Carlos/AAE-4945-2020; Solis-Urra, Patricio/ABH-5748-2022; Aguilar-Farias, Nicolas/V-2742-2018; Ferrari, Gerson/ABG-6635-2021; Ferrari, Gerson/P-1152-2014; Castro-Pinero, Jose/H-5857-2015</t>
  </si>
  <si>
    <t>Ferrari, Gerson/0000-0003-3177-6576; Solis-Urra, Patricio/0000-0002-2493-9528; Hernandez Jana, Sam Steven/0000-0002-1743-4636; Castro-Pinero, Jose/0000-0002-7353-0382</t>
  </si>
  <si>
    <t>1662-5153</t>
  </si>
  <si>
    <t>10.3389/fnbeh.2021.746197</t>
  </si>
  <si>
    <t>WOS:000698031800001</t>
  </si>
  <si>
    <t>Garg, H; Pinte, C; Christiaens, V; Price, DJ; Lazendic, JS; Boehler, Y; Casassus, S; Marino, S; Perez, S; Zuleta, A</t>
  </si>
  <si>
    <t>Garg, H.; Pinte, C.; Christiaens, V; Price, D. J.; Lazendic, J. S.; Boehler, Y.; Casassus, S.; Marino, S.; Perez, S.; Zuleta, A.</t>
  </si>
  <si>
    <t>Non-Keplerian spirals, a gas-pressure dust trap, and an eccentric gas cavity in the circumbinary disc around HD 142527</t>
  </si>
  <si>
    <t>We present ALMA observations of the (CO)-C-12, (CO)-C-13, (CO)-O-18 J = 2-1 transitions and the 1.3mm continuum emission for the circumbinary disc around HD 142527, at an angular resolution of approximate to 03. We observe multiple spiral structures in intensity, velocity, and velocity dispersion for the (CO)-C-12 and (CO)-C-13 gas tracers. A newly detected (CO)-C-12 spiral originates from the dust horseshoe, and is rotating at super-Keplerian velocity or vertically ascending, whilst the interspiral gas is rotating at sub-Keplerian velocities. This new spiral possibly connects to a previously identified spiral, thus spanning &gt;360 degrees. A spatial offset of 30au is observed between the (CO)-C-12 and (CO)-C-13 spirals, to which we hypothesize that the gas layers are propagating at different speeds (surfing) due to a non-zero vertical temperature gradient. Leveraging the varying optical depths between the CO isotopologues, we reconstruct temperature and column density maps of the outer disc. Gas surface density peaks at r approximate to 180au, coincident with the peak of continuum emission. Here, the dust grains have a Stokes number of approximate to 1, confirming radial and azimuthal trapping in the horseshoe. We measure a cavity radius at half-maximum surface density of approximate to 100au, and a cavity eccentricity between 0.3 and 0.45.</t>
  </si>
  <si>
    <t>Pinte, Christophe/MVW-1517-2025; Marino, Sebastian/AFP-2400-2022; Casassus, Simon/I-8609-2016; Pérez, Sebastián/AAS-5857-2020; Price, Daniel/A-8142-2016</t>
  </si>
  <si>
    <t>Perez, Sebastian/0000-0003-2953-755X; Lazendic-Galloway, Jasmina/0000-0003-0166-1647; Marino, Sebastian/0000-0002-5352-2924; Price, Daniel/0000-0002-4716-4235; Christiaens, Valentin/0000-0002-0101-8814</t>
  </si>
  <si>
    <t>10.1093/mnras/stab800</t>
  </si>
  <si>
    <t>WOS:000656137100056</t>
  </si>
  <si>
    <t>Suárez-García, DMA; Birba, A; Zimerman, M; Diazgranados, JA; da Cunha, PL; Ibáñez, A; Grisales-Cárdenas, JS; Cardona, JF; García, AM</t>
  </si>
  <si>
    <t>Suarez-Garcia, Diana M. A.; Birba, Agustina; Zimerman, Maximo; Diazgranados, Jesus A.; Lopes da Cunha, Pamela; Ibanez, Agustin; Grisales-Cardenas, Johan S.; Cardona, Juan Felipe; Garcia, Adolfo M.</t>
  </si>
  <si>
    <t>Rekindling Action Language: A Neuromodulatory Study on Parkinson's Disease Patients</t>
  </si>
  <si>
    <t>Impairments of action semantics (a cognitive domain that critically engages motor brain networks) are pervasive in early Parkinson's disease (PD). However, no study has examined whether action semantic skills in persons with this disease can be influenced by non-invasive neuromodulation. Here, we recruited 22 PD patients and performed a five-day randomized, blinded, sham-controlled study to assess whether anodal transcranial direct current stimulation (atDCS) over the primary motor cortex, combined with cognitive training, can boost action-concept processing. On day 1, participants completed a picture-word association (PWA) task involving action-verb and object-noun conditions. They were then randomly assigned to either an atDCS (n = 11, 2 mA for 20 m) or a sham tDCS (n = 11, 2 mA for 30 s) group and performed an online PWA practice over three days. On day 5, they repeated the initial protocol. Relative to sham tDCS, the atDCS group exhibited faster reaction times for action (as opposed to object) concepts in the post-stimulation test. This result was exclusive to the atDCS group and held irrespective of the subjects' cognitive, executive, and motor skills, further attesting to its specificity. Our findings suggest that action-concept deficits in PD are distinctively grounded in motor networks and might be countered by direct neuromodulation of such circuits. Moreover, they provide new evidence for neurosemantic models and inform a thriving agenda in the embodied cognition framework.</t>
  </si>
  <si>
    <t>Birba, Agustina/AFR-3037-2022; García, Adolfo/E-7150-2017; Cardona, Juan Felipe/O-9436-2015; Ibanez, Agustin/H-7976-2015</t>
  </si>
  <si>
    <t>Cardona, Juan Felipe/0000-0001-6795-7753; Ibanez, Agustin/0000-0001-6758-5101; Birba, Agustina/0000-0001-5998-6634; Grisales Cardenas, Johan Sebastian/0000-0002-7460-2923; Lopes da Cunha, Pamela/0000-0002-0067-0800; Suarez Garcia, Diana Maria Alejandra/0000-0003-2667-1366</t>
  </si>
  <si>
    <t>10.3390/brainsci11070887</t>
  </si>
  <si>
    <t>WOS:000676269000001</t>
  </si>
  <si>
    <t>Zubieta, E; García, F; del Palacio, S; Espinoza, CM; Furlan, SBA; Gancio, G; Lousto, CO; Combi, JA; Gügercinoglu, E</t>
  </si>
  <si>
    <t>Zubieta, E.; Garcia, F.; del Palacio, S.; Espinoza, C. M.; Furlan, S. B. Araujo; Gancio, G.; Lousto, C. O.; Combi, J. A.; Gugercinoglu, E.</t>
  </si>
  <si>
    <t>Glitch-induced pulse profile change of PSR J0742-2822 observed from the IAR</t>
  </si>
  <si>
    <t>Context. The radio pulsar PSR J0742-2822 is known to exhibit rapid changes between different pulse profile states that correlate with changes in its spin-down rate. However, the connection between these variations and the glitch activity of the pulsar remains unclear. Aims. We aim to study the evolution of the pulse profile and spin-down rate of PSR J0742-2822 in the period MJD 58810-60149 (November 2019 to July 2023), which includes the glitch on MJD 59839 (September 2022). In particular, we looked for pulse profile or spin-down changes associated with the 2022 glitch. Methods. We observed PSR J0742-2822 with a high cadence from the Argentine Institute of Radioastronomy (IAR) between November 2019 and July 2023. We used standard timing tools to characterise the times of arrival of the pulses and to study the pulsar rotation and, particularly, the oscillations of nu. We also studied the evolution of the pulse profile. For both of them, we compared their behaviour before and after the 2022 glitch. Results. With respect to nu, we find that oscillations diminished in amplitude after the glitch. We find four different components contributing to the pre-glitch nu oscillations, and only one component after the glitch. With regard to the emission, we find the pulse profile has two main peaks. We detect an increase in the W-50 of the total pulse profile of similar to 12% after the glitch and we find the amplitude of the trailing peak increased with respect to the amplitude of the leading one after the glitch. Conclusions. We find significant changes in the pulse profile and the spin-down rate of PSR J0742-2822 after its 2022 glitch. These results suggest that there is a strong coupling between the internal superfluid of the neutron star and its magnetosphere, and that pulse profile changes may be led by this coupling instead of being led purely by magnetospheric effects.</t>
  </si>
  <si>
    <t>Espinoza, Cristóbal/U-4428-2017</t>
  </si>
  <si>
    <t>Garcia, Federico/0000-0001-9072-4069; del Palacio, Santiago/0000-0002-5761-2417; Combi, Jorge Ariel/0000-0002-2565-5025; Lousto, Carlos/0000-0002-6400-9640</t>
  </si>
  <si>
    <t>A124</t>
  </si>
  <si>
    <t>10.1051/0004-6361/202452693</t>
  </si>
  <si>
    <t>WOS:001416104000019</t>
  </si>
  <si>
    <t>Vargas, M; Alfaro, M; Fuertes, G; Gatica, G; Gutierrez, S; Vargas, S; Banguera, L; Duran, C</t>
  </si>
  <si>
    <t>Vargas, Manuel; Alfaro, Miguel; Fuertes, Guillermo; Gatica, Gustavo; Gutierrez, Sebastian; Vargas, Soledad; Banguera, Leonardo; Duran, Claudia</t>
  </si>
  <si>
    <t>CDIO Project Approach to Design Polynesian Canoes by First-Year Engineering Students</t>
  </si>
  <si>
    <t>INTERNATIONAL JOURNAL OF ENGINEERING EDUCATION</t>
  </si>
  <si>
    <t>A design of a nautical project using the active learning method based on projects, was developed and implemented in two universities in Chile. The main objective of this research is the search of learning methodologies stimulators of the cooperative work of students in complex projects. The educational project uses the concurrent engineering supported by an informatics platform and the following design technics: Computational Fluid Dynamics (CFD), Computer-aided Manufacturing (CAM), Finite Element Method (FEM) and Computer-aided Design (CAD). The teams are grouped by capabilities and technical interests, working in the different stages of development of the project of a nautical team for an international competition. The programming of the activities carried out by the students include are the 3D digital design, the ergonomic studies, the computational simulations of fluids, the resistance analysis of materials, the 3D prototype and the computer-aided manufacturing. Finally, this research compares the conceive-design-implement-operate (CDIO) methodology with the methodology of lecture classes and presents the learning results and the challenges of the experience.</t>
  </si>
  <si>
    <t>Duran, Claudia/S-1175-2019; Fuertes, Guillermo/Q-2341-2016; vargas, manuel/AAG-4780-2020</t>
  </si>
  <si>
    <t>Gutierrez Lillo, Sebastian/0000-0003-3714-0632; Vargas Guzman, Manuel Eduardo/0000-0003-4161-6621</t>
  </si>
  <si>
    <t>0949-149X</t>
  </si>
  <si>
    <t>WOS:000484364100008</t>
  </si>
  <si>
    <t>Ramírez-Vélez, R; García-Hermoso, A; Agostinis-Sobrinho, C; Mota, J; Santos, R; Correa-Bautista, JE; Peña-Guzmán, CA; Domínguez-Sánchez, MA; Schmidt-RioValle, J; González-Jiménez, E</t>
  </si>
  <si>
    <t>Ramirez-Velez, Robinson; Garcia-Hermoso, Antonio; Agostinis-Sobrinho, Cesar; Mota, Jorge; Santos, Rute; Enrique Correa-Bautista, Jorge; Andres Pena-Guzman, Carlos; Andrea Dominguez-Sanchez, Maria; Schmidt-RioValle, Jacqueline; Gonzalez-Jimenez, Emilio</t>
  </si>
  <si>
    <t>Pubertal Stage, Body Mass Index, and Cardiometabolic Risk in Children and Adolescents in Bogota, Colombia: The Cross-Sectional Fuprecol Study</t>
  </si>
  <si>
    <t>This study explored the association between pubertal stage and anthropometric and cardiometabolic risk factors in youth. A cross-sectional study was conducted in 2877 Colombian children and adolescents (9-17.9 years of age). Weight, height, and waist circumference were measured and body mass index (BMI) was calculated. A biochemical study was performed to determine the cardiometabolic risk index (CMRI). Blood pressure was evaluated and pubertal stage was assessed with the Tanner criteria. Hierarchical multiple regression analyses were performed. The most significant variable (p &lt; 0.05) in the prognosis of cardiometabolic risk was found to be the BMI in both boys and girls. In the case of girls, the pubertal stage was also a CMRI predictive factor. In conclusion, BMI was an important indicator of cardiovascular risk in both sexes. Pubertal stage was associated with cardiovascular risk only in the girls.</t>
  </si>
  <si>
    <t>Correa-Bautista, Jorge Enrique/JDD-3131-2023; García-Hermoso, Antonio/ADU-2591-2022; Garcia-Hermoso, Antonio/P-1857-2017; Agostinis Sobrinho, Cesar Aparecido/B-4971-2018; mota, jorge/B-2980-2013; Correa-Bautista, Jorge Enrique/N-2741-2015; Santos, Rute/A-6401-2012; Schmidt-Riovalle, Jacqueline/I-6333-2017; Gonzalez-Jimenez, Emilio/I-6039-2017; Ramirez-Velez, Robinson/D-5311-2016</t>
  </si>
  <si>
    <t>Garcia-Hermoso, Antonio/0000-0002-1397-7182; Pena-Guzman, Carlos/0000-0003-0496-9612; Dominguez Sanchez, Maria Andrea/0000-0003-0830-7990; Agostinis Sobrinho, Cesar Aparecido/0000-0001-9104-9042; mota, jorge/0000-0001-7571-9181; Correa-Bautista, Jorge Enrique/0000-0002-0646-2316; Santos, Rute/0000-0002-7604-5753; Schmidt-Riovalle, Jacqueline/0000-0003-2775-0058; Gonzalez-Jimenez, Emilio/0000-0001-5103-6028; Ramirez-Velez, Robinson/0000-0003-3075-6960</t>
  </si>
  <si>
    <t>10.3390/nu9070644</t>
  </si>
  <si>
    <t>WOS:000406679700006</t>
  </si>
  <si>
    <t>Alwi, RS; Rojas, A; Esfandiari, N; Sajadian, SA; Ardestani, NS; Jouyban, A</t>
  </si>
  <si>
    <t>Alwi, Ratna Surya; Rojas, Adrian; Esfandiari, Nadia; Sajadian, Seyed Ali; Ardestani, Nedasadat Saadati; Jouyban, Abolghasem</t>
  </si>
  <si>
    <t>Experimental study and thermodynamic modeling of clonazepam solubility in supercritical carbon dioxide</t>
  </si>
  <si>
    <t>In this work, the solubility of Clonazepam in supercritical carbon dioxide was tested at different temperatures (308 to 338 K) and pressures (12-30 MPa). The dissolved mole fractions of CLP in SC-CO2 ranged from 3.9x10-6 to 7.26 x 10-5. The experimental solubility of CLP was correlated using three methods: (1) Eight models that are based on density (Chrastil, K-J, Bartle et al., MST, Alwi-Garlapati, Del Valle-Aguilera, Adachi-Lu, and Sparks et al.); (2) equations of state (EoSs), more specifically the Perturbed-Chain Statistical Associating Fluid Theory (PC-SAFT), and the Soave-Redlich-Kwong equations of state (SRK); and (3) Association theory based models developed by Reddy-Madras, Rajasekhar-Madras model, Garlapati-Madras model, and a new modified association theory model. According to the findings, all examined models were able to produce acceptable fits with CLP solubility. The results showed the consistency of the models in correlating the solubility data across all the experimental conditions. To micro-or nanonize CLP, gas antisolvent processes could be the better option based on how CLP dissolves in SC-CO2.</t>
  </si>
  <si>
    <t>Sajadian, Seyedali/HJP-8942-2023; Jouyban, Abolghasem/ABB-7335-2020; Rojas, Adrián/AAR-9441-2021; Esfandiari, Nadia/AAX-8035-2021; surya alwi, ratna/AAC-2690-2020</t>
  </si>
  <si>
    <t>sajadian, seyed ali/0000-0002-8942-0559; Rojas, Adrian/0000-0001-9253-1295; Esfandiari, Nadia/0000-0003-3071-7291; Saadati Ardestani, Nedasadat/0000-0002-4356-125X; surya alwi, ratna/0000-0002-2930-8223</t>
  </si>
  <si>
    <t>10.1016/j.fluid.2023.113880</t>
  </si>
  <si>
    <t>WOS:001041875900001</t>
  </si>
  <si>
    <t>Bruna-Mejias, A; Nova-Baeza, P; Torres-Riquelme, F; Delgado-Retamal, MF; Orellana-Donoso, M; Suazo-Santibañez, A; Sepulveda-Loyola, W; Valdés-Orrego, I; Sanchis-Gimeno, J; Valenzuela-Fuenzalida, JJ</t>
  </si>
  <si>
    <t>Bruna-Mejias, Alejandro; Nova-Baeza, Pablo; Torres-Riquelme, Florencia; Delgado-Retamal, Maria Fernanda; Orellana-Donoso, Mathias; Suazo-Santibanez, Alejandra; Sepulveda-Loyola, Walter; Valdes-Orrego, Ivan; Sanchis-Gimeno, Juan; Valenzuela-Fuenzalida, Juan Jose</t>
  </si>
  <si>
    <t>Morphological Characteristics of the Double Mental Foramen and Its Relevance in Clinical Practice: An Observational Study</t>
  </si>
  <si>
    <t>DIAGNOSTICS</t>
  </si>
  <si>
    <t>The mental foramen (MF) is an opening found bilaterally on the anterolateral aspect of the mandible; it can be round or oval and have different diameters. One of the anatomical variants of the jaw is the presence of an accessory mental foramen (AMF). These are usually smaller than the MF and can be located above, below, or to the sides of the main MF. The objective of this study was to recognize the presence of AMF in dry jaws of the Chilean population and collect information about its clinical relevance reported in the literature. In this descriptive observational study, we have collected dried jaws obtained from three higher education institutions in Santiago de Chile, from the Department of Morphology of the Andr &amp; eacute;s Bello University, the Normal Human Anatomy Unit of the University of Santiago, and the Human Anatomy pavilion from the Faculty of Medicine of the Finis Terrae University. The samples for this research were obtained by convenience, and the observation of the jaws was carried out in the human anatomy laboratories of each institution by three evaluators independently, and a fourth evaluator was included to validate that each evaluation was correct. The sample for this research came from 260 dry jaws, showing the following findings from the total jaws studied, and to classify as an accessory MF, it will be examined and measured so that it complies with what is declared in the literature as the presence of AMF, which is between 0.74 mm. and 0.89 mm. There were 17 studies included with a sample that fluctuated between 1 and 4000, with a cumulative total of 7946 and an average number of jaws analyzed from the studies of 467.4, showing statistically significant differences between the means with the sample analyzed in this study; p = 0.095. For the cumulative prevalence of the presence of AMF, this was 3.07 in this study, and in the compared studies, the average of AMF was 8.01%, which did not present a statistically significant difference; p = 0.158. Regarding the presence of variants of unilateral AMF, this occurred in five jaws, which is equivalent to 1.84% in the sample of this study, while in previous studies, it was 7.5%, being higher on the left side than on the right. The presence of AMF is a variant with high prevalence if we compare it with other variants of the jaw. Knowledge of the anatomy and position of the AMF is crucial to analyze different scenarios in the face of surgical procedures or conservative treatments of the lower anterior dental region.</t>
  </si>
  <si>
    <t>Bruna, Alejandro/AAZ-7082-2020; Loyola, Walter/G-7400-2018; Sanchis-Gimeno, Juan A./G-9976-2015</t>
  </si>
  <si>
    <t>NOVA BAEZA, PABLO IGNACIO/0000-0003-0098-0224; Valenzuela, Juan/0000-0002-7634-012X; Sanchis-Gimeno, Juan A./0000-0002-2599-8474; Suazo Santibanez, Alejandra Isabel/0009-0003-9306-8302; Bruna, Alejandro/0000-0002-7697-419X</t>
  </si>
  <si>
    <t>2075-4418</t>
  </si>
  <si>
    <t>10.3390/diagnostics14121277</t>
  </si>
  <si>
    <t>WOS:001254491400001</t>
  </si>
  <si>
    <t>Aragonès, AC; Martín-Rodríguez, A; Aravena, D; di Palma, G; Qian, WJ; Puigmartí-Luis, J; Aliaga-Alcalde, N; González-Campo, A; Díez-Pérez, I; Ruiz, E</t>
  </si>
  <si>
    <t>Aragones, Albert C.; Martin-Rodriguez, Alejandro; Aravena, Daniel; di Palma, Giuseppe; Qian, Wenjie; Puigmarti-Luis, Josep; Aliaga-Alcalde, Nuria; Gonzalez-Campo, Arantzazu; Diez-Perez, Ismael; Ruiz, Eliseo</t>
  </si>
  <si>
    <t>Room-Temperature Spin-Dependent Transport in Metalloporphyrin-Based Supramolecular Wires</t>
  </si>
  <si>
    <t>ANGEWANDTE CHEMIE-INTERNATIONAL EDITION</t>
  </si>
  <si>
    <t>Here we present room-temperature spin-dependent charge transport measurements in single-molecule junctions made of metalloporphyrin-based supramolecular assemblies. They display large conductance switching for magnetoresistance in a single-molecule junction. The magnetoresistance depends acutely on the probed electron pathway through the supramolecular wire: those involving the metal center showed marked magnetoresistance effects as opposed to those exclusively involving the porphyrin ring which present nearly complete absence of spin-dependent charge transport. The molecular junction magnetoresistance is highly anisotropic, being observable when the magnetization of the ferromagnetic junction electrode is oriented along the main molecular junction axis, and almost suppressed when it is perpendicular. The key ingredients for the above effect to manifest are the electronic structure of the paramagnetic metalloporphyrin, and the spinterface created at the molecule-electrode contact.</t>
  </si>
  <si>
    <t>Puigmarti-Luis, Josep/A-5302-2015; Aravena, Daniel/F-2174-2011; Gonzalez Campo, Arantzazu/J-4124-2012; Diez-Perez, Ismael/F-6402-2014; Ruiz, Eliseo/A-6268-2011; Aliaga-Alcalde, Nuria/H-5886-2011; Aragones, Albert C/P-8182-2018</t>
  </si>
  <si>
    <t>Gonzalez Campo, Arantzazu/0000-0002-1209-8119; Di Palma, Giuseppe/0000-0002-5530-9107; Diez-Perez, Ismael/0000-0003-0513-8888; Qian, Wenjie/0000-0003-1696-8094; Ruiz, Eliseo/0000-0001-9097-8499; Aliaga-Alcalde, Nuria/0000-0003-1080-3862; Aragones, Albert C/0000-0002-1829-6941</t>
  </si>
  <si>
    <t>1433-7851</t>
  </si>
  <si>
    <t>1521-3773</t>
  </si>
  <si>
    <t>10.1002/anie.202110515</t>
  </si>
  <si>
    <t>WOS:000713755500001</t>
  </si>
  <si>
    <t>Mandakovic, D; Aguado-Norese, C; Garcia-Jiménez, B; Hodar, C; Maldonado, JE; Gaete, A; Latorre, M; Wilkinson, MD; Gutiérrez, RA; Cavieres, LA; Medina, J; Cambiazo, V; Gonzalez, M</t>
  </si>
  <si>
    <t>Mandakovic, Dinka; Aguado-Norese, Constanza; Garcia-Jimenez, Beatriz; Hodar, Christian; Maldonado, Jonathan E.; Gaete, Alexis; Latorre, Mauricio; Wilkinson, Mark D.; Gutierrez, Rodrigo A.; Cavieres, Lohengrin A.; Medina, Joaquin; Cambiazo, Veronica; Gonzalez, Mauricio</t>
  </si>
  <si>
    <t>Testing the stress gradient hypothesis in soil bacterial communities associated with vegetation belts in the Andean Atacama Desert</t>
  </si>
  <si>
    <t>ENVIRONMENTAL MICROBIOME</t>
  </si>
  <si>
    <t>BackgroundSoil microorganisms are in constant interaction with plants, and these interactions shape the composition of soil bacterial communities by modifying their environment. However, little is known about the relationship between microorganisms and native plants present in extreme environments that are not affected by human intervention. Using high-throughput sequencing in combination with random forest and co-occurrence network analyses, we compared soil bacterial communities inhabiting the rhizosphere surrounding soil (RSS) and the corresponding bulk soil (BS) of 21 native plant species organized into three vegetation belts along the altitudinal gradient (2400-4500 m a.s.l.) of the Talabre-Lejia transect (TLT) in the slopes of the Andes in the Atacama Desert. We assessed how each plant community influenced the taxa, potential functions, and ecological interactions of the soil bacterial communities in this extreme natural ecosystem. We tested the ability of the stress gradient hypothesis, which predicts that positive species interactions become increasingly important as stressful conditions increase, to explain the interactions among members of TLT soil microbial communities.ResultsOur comparison of RSS and BS compartments along the TLT provided evidence of plant-specific microbial community composition in the RSS and showed that bacterial communities modify their ecological interactions, in particular, their positive:negative connection ratios in the presence of plant roots at each vegetation belt. We also identified the taxa driving the transition of the BS to the RSS, which appear to be indicators of key host-microbial relationships in the rhizosphere of plants in response to different abiotic conditions. Finally, the potential functions of the bacterial communities also diverge between the BS and the RSS compartments, particularly in the extreme and harshest belts of the TLT.ConclusionsIn this study, we identified taxa of bacterial communities that establish species-specific relationships with native plants and showed that over a gradient of changing abiotic conditions, these relationships may also be plant community specific. These findings also reveal that the interactions among members of the soil microbial communities do not support the stress gradient hypothesis. However, through the RSS compartment, each plant community appears to moderate the abiotic stress gradient and increase the efficiency of the soil microbial community, suggesting that positive interactions may be context dependent.</t>
  </si>
  <si>
    <t>Gutierrez, Rodrigo/ABA-9285-2020; García-Jiménez, Beatriz/ABH-2355-2020; Hodar, Christian/M-2849-2019; Latorre, Mauricio/MAH-8946-2025; Cavieres, Lohengrin/A-9542-2010; Maldonado Soto, Jonathan Elias/J-6429-2012</t>
  </si>
  <si>
    <t>Cavieres, Lohengrin/0000-0001-9122-3020; Gaete, Alexis/0000-0001-9132-231X; Maldonado Soto, Jonathan Elias/0000-0002-9967-0885; Latorre, Mauricio/0000-0003-4746-8690; Mandakovic, Dinka/0000-0002-1406-8175; Medina, Joaquin/0000-0002-1735-330X</t>
  </si>
  <si>
    <t>2524-6372</t>
  </si>
  <si>
    <t>10.1186/s40793-023-00486-w</t>
  </si>
  <si>
    <t>WOS:000961898000001</t>
  </si>
  <si>
    <t>Brand, C; Lemes, VB; Sehn, AP; Agostinis-Sobrinho, C; Henriquez-Maquehue, F; Jofré-Saldía, E; Ibacache-Saavedra, P; Farias-Valenzuela, C; Villa-González, E; Reuter, CP</t>
  </si>
  <si>
    <t>Brand, Caroline; Lemes, Vanilson Batista; Sehn, Ana Paula; Agostinis-Sobrinho, Cesar; Henriquez-Maquehue, Fernanda; Jofre-Saldia, Emilio; Ibacache-Saavedra, Paulina; Farias-Valenzuela, Claudio; Villa-Gonzalez, Emilio; Reuter, Cezane Priscila</t>
  </si>
  <si>
    <t>Parental obesity, health determinants, and cardiometabolic risk according to sleep duration in schoolchildren: analysis through structural equations</t>
  </si>
  <si>
    <t>Background the independent association between parental obesity, sleep and lifestyle habits with cardiometabolic risk factors in children and adolescents has been widely explored in the literature. Our study represents a novel approach to comprehensively investigate a complex model encompassing various aspects associated with cardiometabolic risk in youth. Thus, the aim of the present study was to verify the relationship between parental obesity and cardiometabolic risk in children and adolescents, considering the mediator role of health indicators according to sleep time. Methods This cross-sectional study was conducted on 3,973 children and adolescents aged 6 to 17 years attending public and private schools in a city located in Southern Brazil. Sleep duration, lifestyle, physical activity, natural food consumption, and parental obesity were evaluated through self-reported questionnaires. Physical fitness was evaluated according to the protocols of Projeto Esporte Brasil. The body fat percentage was evaluated through the measures of tricipital and subscapular folds, and the body mass index was calculated. The clustered metabolic risk score (cMetS) considered the summing z-scores of waist circumference, systolic blood pressure, triglycerides, total cholesterol/high-density lipoprotein cholesterol ratio, and fasting glucose, divided by five. A structural equation model was applied for statistical analysis. Results: The relationship between parental obesity and cardiometabolic risk was observed in children and adolescents with adequate sleep, being significant (p &lt; 0.05) mediated by physical activity, natural food, physical fitness, and lifestyle. This was also observed when parental education was included in the inadequate sleep cluster model. Conclusion: Present findings underscore the importance of sufficient sleep duration as a critical factor in understanding the complex interplay between parental obesity and cardiometabolic risk in children and adolescents.</t>
  </si>
  <si>
    <t>Sehn, Ana/GYN-2795-2022; Lemes, Vanilson/A-4505-2019; Brand, Caroline/ABH-5856-2020; Reuter, Cezane/K-3311-2016; Ibacache, Paulina/LWI-3904-2024; Villa-González, Emilio/G-6421-2015; Agostinis-Sobrinho, Cesar/B-4971-2018</t>
  </si>
  <si>
    <t>NOV 9</t>
  </si>
  <si>
    <t>10.1186/s13052-024-01800-z</t>
  </si>
  <si>
    <t>WOS:001352294600001</t>
  </si>
  <si>
    <t>Gomez, D; Lopez, JD; Giraldo, LS; Huepe, DA; Garcia, AM; Trujillo, N</t>
  </si>
  <si>
    <t>Gomez, Diana; Lopez, Jose D.; Giraldo, Luz S.; Huepe, David A.; Garcia, Adolfo M.; Trujillo, Natalia</t>
  </si>
  <si>
    <t>Exposure to armed conflict and monitoring as predictors of aggression in a population immersed in a long-term conflict</t>
  </si>
  <si>
    <t>POLITICAL PSYCHOLOGY</t>
  </si>
  <si>
    <t>As armed conflict can influence social behavior, exposed individuals would experience modulated executive functioning, crucial to regulating aggressive responses. Since it is still unclear whether there is an association, this study examines the relationship between performance in executive functions and expression of reactive and proactive aggression, measured using the Reacting Proactive Aggression Questionnaire. The sample includes 128 civilians and ex-combatants with different levels of exposure to the Colombian armed conflict. The study found that reactive aggression was directly linked to conflict exposure and was also influenced by age and monitoring ability. This suggests that an updated working memory and age play a role in reactive aggression. In contrast, proactive aggression was directly linked to conflict exposure but not to specific executive functions. In conclusion, individuals with less monitoring who live in high-conflict regions present an increased likelihood of reactive aggression. Additionally, reasonable executive control of thoughts and actions, which involves updating past experiences, appears to be crucial in social contexts, especially violent ones. These findings shall inform interventions and public policies that address the psychosocial risks of aggressive behaviors.</t>
  </si>
  <si>
    <t>García, Adolfo/E-7150-2017; Cardona, Luz/AAG-7281-2020</t>
  </si>
  <si>
    <t>Giraldo Cardona, Luz Stella/0000-0003-0192-2798</t>
  </si>
  <si>
    <t>0162-895X</t>
  </si>
  <si>
    <t>1467-9221</t>
  </si>
  <si>
    <t>10.1111/pops.12972</t>
  </si>
  <si>
    <t>WOS:001181002100001</t>
  </si>
  <si>
    <t>Thota, C; Murali, G; Dhanalakshmi, R; Reddeppa, M; Bak, NH; Nagaraju, G; Kim, SG; Modigunta, JKR; Park, YH; In, I; Kim, MD</t>
  </si>
  <si>
    <t>Thota, C.; Murali, G.; Dhanalakshmi, R.; Reddeppa, M.; Bak, N. -H.; Nagaraju, G.; Kim, S. -G.; Modigunta, J. K. R.; Park, Y. H.; In, Insik; Kim, M. -D.</t>
  </si>
  <si>
    <t>2D MXene/1D GaN van der Waals heterojunction for self-powered UV photodetector</t>
  </si>
  <si>
    <t>APPLIED PHYSICS LETTERS</t>
  </si>
  <si>
    <t>MXene's two-dimensional (2D) morphology, metallic electrical conductivity, and optical transparency characteristics have been widely utilized to uplift the performance of diverse optoelectronic devices. In this study, we demonstrate a simple spin-coating of 2D MXene nanosheets on 1D GaN nanorods (NRs) to establish a van der Waals (vdW) Schottky junction, which is efficient to detect UV radiation (lambda = 382 nm) without requiring the external power supply. The built-in electric field developed through vdW Schottky junction formation stimulates the separation of electron-hole pairs and thereby facilitates the MXene/GaN NRs device to exhibit better UV detection performance than the pristine GaN NRs device. The performance of both pristine GaN and MXene/GaN NRs devices is compared by tuning the UV radiation power density in the range of 0.33-1.35 mW/cm(2). Notably, the self-powered MXene/GaN NRs photodetector demonstrated the characteristics of high photoresponsivity (48.6 mA/W), detectivity (5.9 x 10(12) Jones), and external quantum efficiency (543%). These characteristics signify the suitability of MXene/GaN self-powered photodetectors for various applications, including imaging, sensing networks, and energy-saving communication.</t>
  </si>
  <si>
    <t>G, Murali/C-6492-2014; Kim, Young-Hoon/AAO-5792-2021; In, Insik/AAM-2148-2021; NAGARAJU, GOLI/ABF-9851-2020; Nagaraju, Goli/M-7402-2014; Modigunta, Jeevan Kumar Reddy/M-5067-2015</t>
  </si>
  <si>
    <t>Thota, Chandrakalavathi/0000-0002-1671-1507; Nagaraju, Goli/0000-0002-2842-4142; Park, Young Ho/0000-0001-8856-0608; Bak, Na-hyun/0000-0002-1321-1662; Radhalayam, Dhanalakshmi/0000-0002-7643-0555; Murali, G./0000-0001-7054-3519; Modigunta, Jeevan Kumar Reddy/0000-0001-9471-4933; in, insik/0000-0001-7852-1162</t>
  </si>
  <si>
    <t>0003-6951</t>
  </si>
  <si>
    <t>1077-3118</t>
  </si>
  <si>
    <t>JAN 16</t>
  </si>
  <si>
    <t>10.1063/5.0132756</t>
  </si>
  <si>
    <t>WOS:000922178500010</t>
  </si>
  <si>
    <t>Ding, M; Cutsail, GE; Aravena, D; Amoza, M; Rouzières, M; Dechambenoit, P; Losovyj, Y; Pink, M; Ruiz, E; Clérac, R; Smith, JM</t>
  </si>
  <si>
    <t>Ding, Mei; Cutsail, George E., III; Aravena, Daniel; Amoza, Martin; Rouzieres, Mathieu; Dechambenoit, Pierre; Losovyj, Yaroslav; Pink, Maren; Ruiz, Eliseo; Clerac, Rodolphe; Smith, Jeremy M.</t>
  </si>
  <si>
    <t>A low spin manganese(IV) nitride single molecule magnet</t>
  </si>
  <si>
    <t>CHEMICAL SCIENCE</t>
  </si>
  <si>
    <t>Structural, spectroscopic and magnetic methods have been used to characterize the tris(carbene) borate compound PhB(MesIm)(3)Mn equivalent to N as a four-coordinate manganese(IV) complex with a low spin (S = 1/2) configuration. The slow relaxation of the magnetization in this complex, i.e. its single-molecule magnet (SMM) properties, is revealed under an applied dc field. Multireference quantum mechanical calculations indicate that this SMM behavior originates from an anisotropic ground doublet stabilized by spin-orbit coupling. Consistent theoretical and experiment data show that the resulting magnetization dynamics in this system is dominated by ground state quantum tunneling, while its temperature dependence is influenced by Raman relaxation.</t>
  </si>
  <si>
    <t>Clérac, Rodolphe/C-2800-2008; Smith, Jeremy/H-5043-2012; Aravena, Daniel/F-2174-2011; Ruiz, Eliseo/A-6268-2011; Cutsail III, George/D-2393-2015</t>
  </si>
  <si>
    <t>Dechambenoit, Pierre/0000-0001-7850-2260; Aravena, Daniel/0000-0003-3140-4852; Ruiz, Eliseo/0000-0001-9097-8499; Amoza Davila, Martin/0000-0001-6609-8870; Rouzieres, Mathieu/0000-0003-3457-3133; Cutsail III, George/0000-0002-7378-9474; CLERAC, Rodolphe/0000-0001-5429-7418</t>
  </si>
  <si>
    <t>2041-6520</t>
  </si>
  <si>
    <t>2041-6539</t>
  </si>
  <si>
    <t>10.1039/c6sc01469k</t>
  </si>
  <si>
    <t>WOS:000382488500063</t>
  </si>
  <si>
    <t>Petermann-Rocha, F; Pizarro, A; Nazar, G; Zambrano-Bigiarini, M; Plaza-Garrido, A; Díaz-Toro, F; Troncoso-Pantoj, C; Celis, A; Sugg, D; Celis-Morales, C</t>
  </si>
  <si>
    <t>Petermann-Rocha, Fanny; Pizarro, Alonso; Nazar, Gabriela; Zambrano-Bigiarini, Mauricio; Plaza-Garrido, Angela; Diaz-Toro, Felipe; Troncoso-Pantoj, Claudia; Celis, Andres; Sugg, Daniela; Celis-Morales, Carlos</t>
  </si>
  <si>
    <t>Water Availability and Security in the Development of Non-Communicable Chronic Diseases: New Risk Factors?</t>
  </si>
  <si>
    <t>Petermann-Rocha, Fanny/AAK-1230-2021; Zambrano-Bigiarini, Mauricio/C-7855-2012; Diaz-Toro, Felipe/ABC-8025-2020; Troncoso-Pantoja, Claudia/E-8932-2019</t>
  </si>
  <si>
    <t>Troncoso-Pantoja, Claudia/0000-0002-8433-5750</t>
  </si>
  <si>
    <t>WOS:001358226000013</t>
  </si>
  <si>
    <t>Parra-Soto, S; Martínez-Sanguinetti, MA; Cigarroa, I; Diaz-Martínez, X; Matus-Castillo, C; Garrido-Méndez, A; Concha-Cisternas, Y; Ferrari, G; Vásquez-Gómez, J; Castillo-Retamal, M; Petermann-Rocha, F; Celis-Morales, C</t>
  </si>
  <si>
    <t>Parra-Soto, Solange; Adela Martinez-Sanguinetti, Maria; Cigarroa, Igor; Diaz-Martinez, Ximena; Matus-Castillo, Carlos; Garrido-Mendez, Alex; Concha-Cisternas, Yeny; Ferrari, Gerson; Vasquez-Gomez, Jaime; Castillo-Retamal, Marcelo; Petermann-Rocha, Fanny; Celis-Morales, Carlos</t>
  </si>
  <si>
    <t>What is the association between physical activity, sedentary lifestyle and risk of developing cancer in the adult population? A scoping review</t>
  </si>
  <si>
    <t>REVISTA CHILENA DE NUTRICION</t>
  </si>
  <si>
    <t>Regular physical activity (PA) has been associated with important metabolic benefits, as well as a decreased risk of developing some types of cancer. The objective of this scoping review is to synthesize the existing scientific evidence on the association of PA levels and the risk of developing cancer. This will allow a better orientation to future public policies aimed at increasing PA levels in the Chilean population. We searched for the latest global and national reports on PA and cancer as well as scientific databases (Pubmed, Web of Sciences, Scopus, Medline, Scielo and Google Scholar) using the following keywords: exercise, neoplasms, cancer, colorectal, breast, endometrium, physical activity, exercise, sedentary lifestyle and sports. Our review supports the protective association between PA and a lower risk of several cancers including colorectal, breast and endometrial cancer. However, more research is still needed to elucidate the role of PA on the risk for other common cancers.</t>
  </si>
  <si>
    <t>Diaz, Ximena/A-3527-2017; Matus-Castillo, Carlos/HZI-2343-2023; Castillo-Retamal, Marcelo/HMD-8645-2023; Ferrari, Gerson/ABG-6635-2021; Garrido, Alex/IAP-5408-2023; Parra-Soto, Solange/HIK-1279-2022; cigarroa, igor/AAV-3527-2020; Petermann-Rocha, Fanny/AAK-1230-2021; Vásquez-Gómez, Jaime/AAJ-4316-2020; Castillo Retamal, Marcelo/B-9822-2017; Ferrari, Gerson/P-1152-2014</t>
  </si>
  <si>
    <t>Castillo Retamal, Marcelo/0000-0002-7482-1165; Ferrari, Gerson/0000-0003-3177-6576; Petermann Rocha, Fanny/0000-0002-4384-4962; Garrido-Mendez, Alex/0000-0003-0437-4870; Parra-Soto, Solange/0000-0002-8443-7327</t>
  </si>
  <si>
    <t>0717-7518</t>
  </si>
  <si>
    <t>10.4067/S0717-75182021000200245</t>
  </si>
  <si>
    <t>WOS:000646258800013</t>
  </si>
  <si>
    <t>Millahual, LC; Robles, JMC; Vera, CG; Cabrera, DJ; Cornejo, MG; Lacoste, P; Esteban, MR; de Stange, AS; Figueroa, CT</t>
  </si>
  <si>
    <t>Vera, CG; Figueroa, CT</t>
  </si>
  <si>
    <t>Caceres Millahual, Luis; Concha Robles, Jose Miguel; Garay Vera, Cristian; Jimenez Cabrera, Diego; Guerrero Cornejo, Marion; Lacoste, Pablo; Rey Esteban, Mayra; Soliz de Stange, Ana; Tapia Figueroa, Claudio</t>
  </si>
  <si>
    <t>Chile's regional international relations around 1904 Introduction</t>
  </si>
  <si>
    <t>RELACIONES INTERNACIONALES REGIONALES DE CHILE HACIA 1904</t>
  </si>
  <si>
    <t>978-956-6095-25-5</t>
  </si>
  <si>
    <t>10.26448/ae9789566095255.11</t>
  </si>
  <si>
    <t>WOS:000762754900001</t>
  </si>
  <si>
    <t>Chalapathi, U; Reddy, NP; Alhammadi, S; Alshgari, RA; Dhanalakshmi, R; Reddy, GS; Sangaraju, S; Mohanarangam, K; Reddy, VRM; Ahn, CH; Park, SH</t>
  </si>
  <si>
    <t>Chalapathi, U.; Reddy, Nandarapu Purushotham; Alhammadi, Salh; Alshgari, Razan A.; Dhanalakshmi, Radhalayam; Reddy, Golkonda Srinivas; Sangaraju, Sambasivam; Mohanarangam, Krithikaa; Reddy, Vasudeva Reddy Minnam; Ahn, Chang-Hoi; Park, Si-Hyun</t>
  </si>
  <si>
    <t>Antimony (Sb)-doped Bi2S3 nanorod films for photoelectrochemical water splitting</t>
  </si>
  <si>
    <t>JOURNAL OF SOLID STATE CHEMISTRY</t>
  </si>
  <si>
    <t>Bi2S3 is a promising material for photoelectrochemical (PEC) water splitting due to its favorable optoelectronic properties, abundance of non-toxic elements, and chemical stability. However, pure Bi2S3 exhibits low photocurrent efficiency due to charge recombination and slow charge transport. To enhance its performance, we doped antimony (Sb) into the Bi2S3 matrix, improving both its physical and PEC characteristics. The Sb doping concentration was varied from 0 to 3.1 at.% in Bi2S3 films, which were fabricated through chemical bath deposition followed by annealing. Undoped Bi2S3 formed nanorods with a direct bandgap of 1.26 eV and achieved a photocurrent density of 4.5 mA/cm2 at 1.0 V vs Ag/AgCl. Sb doping at 0.9 at.% increased both crystallite size and nanorod density, resulting in a bandgap of 1.43 eV and a photocurrent density of 7.0 mA/cm2. At higher Sb concentrations (2.2 to 3.1 at.%), the nanorod size further increased, while the bandgap decreased to 1.20 eV, with a corresponding increase in photocurrent density to 8.6 mA/cm2. These results demonstrate that Sb doping significantly enhances the nanorod density, photocurrent, and stability of Bi2S3 photoelectrodes.</t>
  </si>
  <si>
    <t>Mohanarangam, Krithikaa/IAO-1286-2023; Reddy, Golkonda/D-2122-2018; Sangaraju, Sambasivam/Z-5686-2019; Alhammadi, Salh/ABZ-2324-2022</t>
  </si>
  <si>
    <t>Alhammadi, Salh/0000-0001-9546-0429</t>
  </si>
  <si>
    <t>0022-4596</t>
  </si>
  <si>
    <t>1095-726X</t>
  </si>
  <si>
    <t>10.1016/j.jssc.2024.125099</t>
  </si>
  <si>
    <t>WOS:001370596700001</t>
  </si>
  <si>
    <t>Lazar, M; López, RA; Poedts, S; Shaaban, SM</t>
  </si>
  <si>
    <t>Lazar, M.; Lopez, R. A.; Poedts, S.; Shaaban, S. M.</t>
  </si>
  <si>
    <t>Instability of Langmuir-beam waves: Kappa-distributed electrons</t>
  </si>
  <si>
    <t>PHYSICS OF PLASMAS</t>
  </si>
  <si>
    <t>In space plasmas, electron populations exhibit non-equilibrium velocity distributions with high-energy tails that are reproduced by the Kappa power-laws and contrast with the Maxwellian distributions often used in theoretical and numerical analyses. In this work, we investigate typical electron beam-plasma systems and show the influence of Kappa tails on the linear dispersion and stability spectra of Langmuir-beam waves. The most common scenarios invoke instabilities of Langmuir waves at the origin of radio emissions in solar flares and interplanetary shocks. However, the parametric domain of these instabilities is narrow (i.e., energetic beams but with very low density, n(b)/n(e) = 10(-3)), making their analytical and numerical characterization not straightforward, while the approximations used may lead to inconclusive results. Here, we provide exact numerical solutions of the Langmuir-beam mode, which distinguish from the classical ones (unaffected by the beam), and also from electron beam modes destabilized by more energetic and/or denser beams. Langmuir-beam solutions are only slightly modified by the Kappa distribution of the beam component, due to its very low density. However, if the main (core) population is Kappa distributed, the instability of the Langmuir-beam mode is strongly inhibited, if not suppressed. New analytical solutions are derived taking into account the more or less resonant involvement of the electron core and beam populations. As a result, the analytical solutions show an improved match with the exact solutions, making them applicable in advanced modeling of weak (weakly nonlinear) turbulence.</t>
  </si>
  <si>
    <t>Poedts, Stefaan/AAG-1995-2019; Shaaban, Shaaban/O-4663-2019; Lazar, Marian/U-7133-2019; Lopez, Rodrigo/H-7576-2013; Lazar, Marian/C-3264-2012; Poedts, Stefaan/C-9775-2012</t>
  </si>
  <si>
    <t>1070-664X</t>
  </si>
  <si>
    <t>1089-7674</t>
  </si>
  <si>
    <t>10.1063/5.0159486</t>
  </si>
  <si>
    <t>WOS:001050697700004</t>
  </si>
  <si>
    <t>Huentupil, Y; Chung, P; Novoa, N; Arancibia, R; Roussel, P; Oyarzo, J; Klahn, AH; Silva, C; Calvis, C; Messeguer, R; Bosque, R; López, C</t>
  </si>
  <si>
    <t>Huentupil, Yosselin; Chung, Patricio; Novoa, Nestor; Arancibia, Rodrigo; Roussel, Pascal; Oyarzo, Juan; Klahn, A. Hugo; Silva, Carlos; Calvis, Carme; Messeguer, Ramon; Bosque, Ramon; Lopez, Concepcion</t>
  </si>
  <si>
    <t>Novel multifunctional and multitarget homo- (Fe2) and heterobimetallic [(Fe,M) with M = Re or Mn] sulfonyl hydrazones</t>
  </si>
  <si>
    <t>The synthesis and characterization of the novel ferrocenyl sulfonyl hydrazide [Fe(mu(5)-C5H5){(mu(5)-C5H4)-S (O)(2)-NH-NH2}] (2) is reported. Additional studies on its reactivity using acetone or the ferrocenyl-, cyrhetrenyl- or cymantrenyl-aldehydes have allowed us to isolate and characterize [Fe(eta(5)-C5H5){(eta(C5H4)-C-5)-S(O)(2)-NH-N=CMe2}] (3), the bis(ferrocenyl) derivative [Fe(eta(5)-C5H5){[(eta(5)-C5H4)-S(O)(2)-NHNvCH-(eta(5)-C5H4)]Fe(eta(5)-C5H5)}] (4) and the heterodimetallic compounds [Fe(.5-C5H5){[(eta(5)-C5H4)-S(O)(2)NH-NvCH-(eta(5)-C5H4)]M(CO)(3)}] with M = Re (5a) or Mn (5b). The X-ray crystal structures of compounds 3, 5a and 5b are also reported. A comparative study of their electrochemical and spectroscopic properties is also described. Additional computational calculations based on the DFT methodology have allowed us to elucidate the effect produced by the replacement of the terminal -NH2 (in 2) by the -N=CMe2 (in 3) and -N=CHR (in 4, 5a and 5b) moieties on the electronic distribution and to explain the differences detected in their electrochemical properties and absorption spectra. In vitro cytotoxicity studies of compounds 2, 4, 5a and 5b on the HCT-116 (colon), MCF7 and MDA-MB231 (breast) cancer cell lines reveal that compound 2 has no significant activity (IC50 &gt; 100 mu M), while its derivatives 4, 5a and 5b proved to be active in the three cancer cell lines selected in this study. The growth inhibition potency of compounds 5a and 5b against the triple negative MDA-MB231 breast cancer cell line is similar (or slightly) greater than that of cisplatin. Moreover, compounds 2, 4, 5a and 5b are less toxic than cisplatin in the normal and non-tumoral BJ fibroblasts, and the heterodimetallic complexes 5a and 5b with selective index &gt;2.1 show an outstanding selective toxicity towards the MDA-MB231 cancer cells.</t>
  </si>
  <si>
    <t>ROUSSEL, Pascal/A-8578-2011; López, Concepción/K-1100-2014; Silva, Carlos/IQS-5583-2023; Novoa, Nestor/G-9558-2018; Bosque, Ramon/D-1635-2012</t>
  </si>
  <si>
    <t>Oyarzo Montalvan, Juan Ignacio/0000-0002-1778-3051; Novoa, Nestor/0000-0002-7167-2694; Roussel, Pascal/0000-0001-7243-7293; Silva, Carlos P./0000-0001-5344-042X; Bosque, Ramon/0000-0002-4796-5673</t>
  </si>
  <si>
    <t>10.1039/d0dt01756f</t>
  </si>
  <si>
    <t>WOS:000569986300015</t>
  </si>
  <si>
    <t>Calderón, R; Palma, P; Arancibia-Miranda, N; Kim, UJ; Silva-Moreno, E; Kannan, K</t>
  </si>
  <si>
    <t>Calderon, R.; Palma, P.; Arancibia-Miranda, N.; Kim, Un-Jung; Silva-Moreno, E.; Kannan, K.</t>
  </si>
  <si>
    <t>Occurrence, distribution and dynamics of perchlorate in soil, water, fertilizers, vegetables and fruits and associated human exposure in Chile</t>
  </si>
  <si>
    <t>ENVIRONMENTAL GEOCHEMISTRY AND HEALTH</t>
  </si>
  <si>
    <t>Perchlorate (ClO4-) has been identified as a persistent environmental contaminant of concern. Perchlorate exposure is a potential health concern because it interferes with hormone production by thyroid gland. Food (fruits and vegetables) and drinking water are an important source of human exposure to perchlorate. However, little is known about the occurrence of perchlorate in Chile. The purpose of this study was to determine the occurrence of perchlorate in 145 samples (soil, drinking water, surface water, groundwater, fertilizers, fruits and vegetables) collected across Chile and estimate associated exposure to consumers. Our results show that perchlorate was detected in soil (median: 22.2 ng g(-1)), drinking water (median: 3.0 ng mL(-1)), fruits (median: 0.91 ng g(-1)fresh weight [FW]), lettuce (median: 5.0 ng g(-1)FW) and chard (median: 4.15 ng g(-1)FW). Interestingly, perchlorate concentrations detected in drinking water from three regions (Serena, Copiapo and Illapel) exceeded the USEPA interim drinking water health advisory level of 15 ng mL(-1). Median concentrations of perchlorate in non-nitrogenous fertilizers (3.1 mg kg(-1)) were higher than those in nitrogenous fertilizers (1.3 mg kg(-1)). Estimated daily intake (EDI) of perchlorate via drinking water was lower than the USEPA's reference dose (7000 ng kg(-1)bw day(-1)). The EDI of perchlorate via vegetables (chard and lettuce) produced in northern Chile was three times higher than those produced in other regions. The results of this study provide information about perchlorate sources in Chile, which will be helpful in modifying current regulations.</t>
  </si>
  <si>
    <t>Arancibia-Miranda, Nicolás/I-6743-2013; Silva-Moreno, Evelyn/B-9545-2012; Kannan, Kurunthachalam/ACA-0037-2022; Kim, Un-Jung/AAI-3695-2020</t>
  </si>
  <si>
    <t>Calderon Araya, Raul Alexis/0000-0002-1094-9661; Palma, Paulina/0000-0001-9156-6269; Kim, Un-Jung/0000-0001-5666-8649; Silva-Moreno, Evelyn/0000-0001-8745-7916</t>
  </si>
  <si>
    <t>0269-4042</t>
  </si>
  <si>
    <t>1573-2983</t>
  </si>
  <si>
    <t>10.1007/s10653-020-00680-6</t>
  </si>
  <si>
    <t>WOS:000554422700001</t>
  </si>
  <si>
    <t>Ortega, R; López, V; Carrasco, X; Escobar, MJ; García, AM; Parra, MA; Aboitiz, F</t>
  </si>
  <si>
    <t>Ortega, Rodrigo; Lopez, Vladimir; Carrasco, Ximena; Escobar, Maria Josefina; Garcia, Adolfo M.; Parra, Mario A.; Aboitiz, Francisco</t>
  </si>
  <si>
    <t>Neurocognitive mechanisms underlying working memory encoding and retrieval in Attention-Deficit/Hyperactivity Disorder</t>
  </si>
  <si>
    <t>Working memory (WM) impairments in ADHD have been consistently reported along with deficits in attentional control. Yet, it is not clear which specific WM processes are affected in this condition. A deficient coupling between attention and WM has been reported. Nevertheless, most studies focus on the capacity to retain information rather than on the attention-dependent stages of encoding and retrieval. The current study uses a visual short-term memory binding task, measuring both behavioral and electrophysiological responses to characterize WM encoding, binding and retrieval comparing ADHD and non-ADHD matched adolescents. ADHD exhibited poorer accuracy and larger reaction times than non-ADHD on all conditions but especially when a change across encoding and test displays occurred. Binding manipulation affected equally both groups. Encoding P3 was larger in the non-ADHD group. Retrieval P3 discriminated change only in the non-ADHD group. Binding-dependent ERP modulations did not reveal group differences. Encoding and retrieval P3 were significantly correlated only in non-ADHD. These results suggest that while binding processes seem to be intact in ADHD, attention-related encoding and retrieval processes are compromised, resulting in a failure in the prioritization of relevant information. This new evidence can also inform recent theories of binding in visual WM.</t>
  </si>
  <si>
    <t>Parra, Mario/C-6135-2009; García, Adolfo/E-7150-2017; Lopez, Vladimir/N-7188-2017; Ortega, Rodrigo/K-5494-2012</t>
  </si>
  <si>
    <t>Escobar, Maria Josefina/0000-0001-6096-9479; Parra Rodriguez, Mario Alfredo/0000-0002-2412-648X; Ortega, Rodrigo/0000-0001-9643-2091; Lopez, Vladimir/0000-0001-5794-9338</t>
  </si>
  <si>
    <t>MAY 8</t>
  </si>
  <si>
    <t>10.1038/s41598-020-64678-x</t>
  </si>
  <si>
    <t>WOS:000560352200024</t>
  </si>
  <si>
    <t>Paredes-Garcia, V; Gaune, S; Saldias, M; Garland, MT; Baggio, R; Vega, A; El Fallah, MS; Escuer, A; Le Fur, E; Venegas-Yazigi, D; Spodine, E</t>
  </si>
  <si>
    <t>Paredes-Garcia, V.; Gaune, S.; Saldias, M.; Garland, M. T.; Baggio, R.; Vega, A.; El Fallah, M. Salah; Escuer, A.; Le Fur, E.; Venegas-Yazigi, D.; Spodine, E.</t>
  </si>
  <si>
    <t>Solvatomorphs of dimeric transition metal complexes based on the V4O12 cyclic anion as building block:: Crystalline packing and magnetic properties</t>
  </si>
  <si>
    <t>Dinuclear [{M(phen)(2)}(2)V4O12] center dot C6H12O center dot H2O (M = Co-II 1, Mn-II 2, Ni-II 3 and Cu-II 4) and [{Cu(phen)(2)}(2)-V4O12] center dot 3.5H(2)O 5 has been prepared by biphasic and hydrothermal syntheses, respectively. All five structures exhibit the {V4O12}(4) cluster in a chair-like configuration, covalently bonded to two [M(phen)(2)](2+) fragments, producing a super-exchange magnetic phenomenon. The magnetic study of complexes 1-5 shows that they are very weak antiferromagnetically coupled systems, with J values of -0.14, 2; -0.64, 3 and -0.23, 4 cm (1). Complexes 1 to 3 correspond to isostructural compounds in which the cyclo-vanadate group acts as a bidentate bridged ligand. In the copper complexes (4 and 5) the {V4O12}(4) anion presents the novel monodentate bridging mode, and therefore a more significant distortion from the chair-like condiguration. The mentioned complexes, together with that reported in the literature, permit to conclude that it is quite common for a single molecular species to exist in more than one crystalline arrangement. A detailed analysis of the structures of 1-4 shows that the crystal symmetry cannot be strictly centrosymmetric, due to the presence of the cyclohexanol molecule with a single -OH group in the lattice. (c) 2008 Elsevier B.V. All rights reserved.</t>
  </si>
  <si>
    <t>El Fallah El Boufrah, Mohamed Salah/AAA-3866-2019; Paredes-Garcia, Veronica/C-4415-2011; Vega, Andres/B-2122-2010; Venegas-Yazigi, Diego/C-5022-2009; Escuer, Albert/L-4706-2014; El Fallah El Boufrahi, Mohamed Salah/L-5110-2014</t>
  </si>
  <si>
    <t>Venegas-Yazigi, Diego/0000-0001-7816-2841; Escuer, Albert/0000-0002-6274-6866; Vega, Andres/0000-0001-6501-4161; El Fallah El Boufrahi, Mohamed Salah/0000-0001-9877-5071</t>
  </si>
  <si>
    <t>12-13</t>
  </si>
  <si>
    <t>10.1016/j.ica.2008.03.098</t>
  </si>
  <si>
    <t>WOS:000258394200049</t>
  </si>
  <si>
    <t>Behn, A; Vöhringer, PA; Martínez, P; Domínguez, AP; González, A; Carrasco, MI; Gloger, S</t>
  </si>
  <si>
    <t>Behn, Alex; Vohringer, Paul A.; Martinez, Pablo; Paula Dominguez, Ana; Gonzalez, Arantza; Carrasco, Maria, I; Gloger, Sergio</t>
  </si>
  <si>
    <t>Validation of the Childhood Trauma Questionnaire-Short Form in Chile</t>
  </si>
  <si>
    <t>Background: Childhood Trauma Questionnaire-Short Form (CTQ-SF) is an instrument to assess child abuse and neglect Aim: to adapt and confirm the psychometric properties of the Spanish version of the CTQ-SF in Chile. Material and Methods: The CTQ-SF was applied to 89 clinically depressed subjects (77.5% women) who consulted at an outpatient mental health clinic. Confirmatory factor analysis (CFA), reliability (Cronbach's alpha) tests, and convergent validity analyses with clinical markers of complex depression were carried out. Results: The Chilean version of the CTQ-SF demonstrated an acceptable fit to a five factormodel, with adequate psychometric properties. The CFA revealed that a better fit to a five factormodel would be achieved after elimination of two items from the physical neglect scale, the less reliable scale of the questionnaire. The physical abuse scale discriminated between patients with a complex depression versus non-complex depression, and all the CTQ-SF's scales discriminated between patients with high suicide risk and/or history of psychiatric admissions versus those patients without this background. Conclusions: the Chilean version of the CTQ-SF shows evidence of structural and discriminant validity, and reliability, in a clinical sample. Better alternatives to specifically assess the physical neglect construct should be developed.</t>
  </si>
  <si>
    <t>Vohringer, Paul A/0000-0002-2460-4680; Martinez, Pablo/0000-0003-4482-7993; Behn, Alex/0000-0003-2070-7866</t>
  </si>
  <si>
    <t>WOS:000542619300009</t>
  </si>
  <si>
    <t>Vidal-Silva, N; Aguilera, E; Roldán-Molina, A; Duine, RA; Nunez, AS</t>
  </si>
  <si>
    <t>Vidal-Silva, N.; Aguilera, E.; Roldan-Molina, A.; Duine, R. A.; Nunez, A. S.</t>
  </si>
  <si>
    <t>Magnon polarons induced by a magnetic field gradient</t>
  </si>
  <si>
    <t>In this paper, we report the theoretical possibility of generating magnon-polaron excitations through a space-varying magnetic field. The spatial dependence of the magnetic field in the Zeeman interaction gives rise to a magnon-phonon coupling when a magnetic field gradient is applied, and such a coupling depends directly on the strength of the gradient. It is also predicted that the direction of the magnetic field gradient allows control over which phonon polarization couples to the magnons in the material. Here, we develop the calculations of the magnon-phonon coupling for an arbitrary (anti)ferromagnet, which are later used to numerically study its consequences. These results are compared to the ones obtained with the phenomenological magnetoelastic coupling in yttrium iron garnet (YIG) where we show that the magnon-polaron band gap seen in YIG can be also obtained with a magnetic field gradient of similar to 0.1 T/m which can be achieved with the current experimental techniques. Our results propose a different way of controlling the magnetoelastic coupling in an arbitrary material and open a route to exploit the magnon-phonon interaction in magnonic and spintronic devices.</t>
  </si>
  <si>
    <t>Roldan, Alejandro/JWO-2121-2024; Núñez, Alvaro/F-4572-2011; Duine, Rembert/F-3559-2016; Vidal Silva, Nicolas/IAN-0226-2023</t>
  </si>
  <si>
    <t>Vidal Silva, Nicolas/0000-0002-3717-3816; Nunez, Alvaro S./0000-0002-6804-9703; Roldan, Alejandro/0000-0002-0697-4936; Aguilera Marinovic, Esteban Javier/0000-0001-9526-230X</t>
  </si>
  <si>
    <t>10.1103/PhysRevB.102.104411</t>
  </si>
  <si>
    <t>WOS:000566887300007</t>
  </si>
  <si>
    <t>Vargas, M; Nuñez, T; Alfaro, M; Fuertes, G; Gutierrez, S; Ternero, R; Sabattin, J; Banguera, L; Duran, C; Peralta, MA</t>
  </si>
  <si>
    <t>Vargas, Manuel; Nunez, Tabita; Alfaro, Miguel; Fuertes, Guillermo; Gutierrez, Sebastian; Ternero, Rodrigo; Sabattin, Jorge; Banguera, Leonardo; Duran, Claudia; Alejandra Peralta, Maria</t>
  </si>
  <si>
    <t>A Project Based Learning Approach for Teaching Artificial Intelligence to Undergraduate Students</t>
  </si>
  <si>
    <t>This work presents an active learning methodology called Project-based learning (PBL) for developing artificial intelligence (AI) in a computer vision course of an undergraduate engineering degree. The objective of the course was to develop image recognition capabilities using Deep Learning (DL)/Machine Learning (ML) technics in real-world problems. The PBL learning methodology helped students search for real-world problems, develop complex solutions, and generate synergy among team members. The main role of the professor was to advise, guide and motivate the students throughout the course. The pedagogic innovation with active learning methodologies offered the professor the opportunity to create a dynamic motivating learning environment based on experiences. Each undergraduate engineering student had the opportunity to develop the skills and techniques of their profession: teamwork, proactivity, innovation, and leadership. The results obtained by the student teams showed problem-solving, including the use of automatic navigation equipment with AI, detection of the malaria parasite, recognition of non-human individuals to control vehicular traffic.</t>
  </si>
  <si>
    <t>Duran, Claudia/S-1175-2019; Fuertes, Guillermo/Q-2341-2016; vargas, manuel/AAG-4780-2020; Sabattin, Jorge/P-2589-2019</t>
  </si>
  <si>
    <t>WOS:000583207300006</t>
  </si>
  <si>
    <t>Kumar, YBK; Divya, A; Dhanalakshmi, R; Ouladsmane, M; Sangaraju, S; Gonuguntla, V; Reddy, VRM; Chalapathi, U</t>
  </si>
  <si>
    <t>Kumar, Y. B. Kishore; Divya, Athipalli; Dhanalakshmi, Radhalayam; Ouladsmane, Mohamed; Sangaraju, Sambasivam; Gonuguntla, Venkateswarlu; Reddy, Vasudeva Reddy Minnam; Chalapathi, U.</t>
  </si>
  <si>
    <t>Phase evolution in AgSbS2 thin films synthesized via a two-stage process</t>
  </si>
  <si>
    <t>MATERIALS RESEARCH BULLETIN</t>
  </si>
  <si>
    <t>This study explores the influence of stacking order and sulfurization pressure on the phase evolution, structural properties, and optoelectronic performance of AgSbS2 thin films. Sulfurizing Sb/Ag and Ag/Sb/Ag stacks at 350 degrees C revealed distinct outcomes: the Sb/Ag stack produced compact, phase-pure cubic AgSbS2 with a direct bandgap of 1.61 eV and high hole mobility (84 cm2V-1s2), while the Ag/Sb/Ag stack contained Ag3SbS3 impurities and exhibited reduced electrical performance. Sulfurization pressures from 750 Torr to 7.5 Torr significantly impacted crystallinity, phase composition, and grain morphology. Higher pressures favored phase- pure cubic AgSbS2 with enhanced compactness, while lower pressures promoted impurities and reduced film quality. The AgSbS2 solar cells fabricated from the Sb/Ag stack achieved 0.95% efficiency (VOC of 519.2 mV, JSC of 6.11 mA/cm2, FF of 30.0%), surpassing the efficiency of the Ag/Sb/Ag stack (0.7% efficiency, VOC of 513.4 mV, JSC of 4.45 mA/cm2, FF of 32.6%) due to improved phase purity.</t>
  </si>
  <si>
    <t>Gonuguntla, Venkateswarlu/AAH-5239-2021; Sangaraju, Sambasivam/Z-5686-2019; Ouladsmane, Mohamed/AAX-4256-2021; KUMAR, Y.B. KISHORE/GLR-0431-2022</t>
  </si>
  <si>
    <t>0025-5408</t>
  </si>
  <si>
    <t>1873-4227</t>
  </si>
  <si>
    <t>10.1016/j.materresbull.2025.113430</t>
  </si>
  <si>
    <t>WOS:001455324100001</t>
  </si>
  <si>
    <t>Borovsky, JE; Delzanno, GL; Valdivia, JA; Moya, PS; Stepanova, M; Birn, J; Blum, LW; Lotko, W; Hesse, M</t>
  </si>
  <si>
    <t>Borovsky, Joseph E.; Delzanno, Gian Luca; Valdivia, Juan Alejandro; Moya, Pablo S.; Stepanova, Marina; Birn, Joachim; Blum, Lauren W.; Lotko, William; Hesse, Michael</t>
  </si>
  <si>
    <t>Outstanding questions in magnetospheric plasma physics: The pollenzo view</t>
  </si>
  <si>
    <t>Based on discussions held at a workshop in Bra-Pollenzo, Italy, this paper elaborates upon 19 outstanding questions of plasma physics in the Earth's magnetosphere. The questions are grouped according to (a) driving processes, (b) radiation belt and ring current issues, (c) auroral physics, (d) internal plasma processes, and (e) magnetosphere-ionosphere mapping issues. Future needs for magnetospheric plasma physics (measurements, techniques, simulations, theories, studies) are outlined.</t>
  </si>
  <si>
    <t>Valdivia, Juan/A-3631-2008; Blum, Lauren/I-2164-2017; Moya, Pablo S./C-3163-2011; Stepanova, Marina/D-6329-2011</t>
  </si>
  <si>
    <t>Blum, Lauren/0000-0002-4797-5476; Valdivia, Juan Alejandro/0000-0003-3381-9904; Moya, Pablo S./0000-0002-9161-0888; Stepanova, Marina/0000-0002-1053-3375; Lotko, William/0000-0002-3859-1593; Borovsky, Joseph E./0000-0002-2325-3348</t>
  </si>
  <si>
    <t>10.1016/j.jastp.2020.105377</t>
  </si>
  <si>
    <t>WOS:000569133800005</t>
  </si>
  <si>
    <t>Geraudie, A; Battista, P; García, AM; Allen, IE; Miller, ZA; Gorno-Tempini, ML; Montembeault, M</t>
  </si>
  <si>
    <t>Geraudie, Amandine; Battista, Petronilla; Garcia, Adolfo M.; Allen, Isabel E.; Miller, Zachary A.; Gorno-Tempini, Maria Luisa; Montembeault, Maxime</t>
  </si>
  <si>
    <t>Speech and language impairments in behavioral variant frontotemporal dementia: A systematic review</t>
  </si>
  <si>
    <t>NEUROSCIENCE AND BIOBEHAVIORAL REVIEWS</t>
  </si>
  <si>
    <t>Although behavioral variant frontotemporal dementia (bvFTD) is classically defined by behavioral and socioemotional changes, impairments often extend to other cognitive functions. These include early speech and language deficits related to the disease's core neural disruptions. Yet, their scope and clinical relevance remains poorly understood. This systematic review characterizes such disturbances in bvFTD, considering clinically, neuroanatomically, genetically, and neuropathologically defined subgroups. We included 181 experimental studies, with at least 5 bvFTD patients diagnosed using accepted criteria, comparing speech and language outcomes between bvFTD patients and healthy controls or between bvFTD subgroups. Results reveal extensive and heterogeneous deficits across cohorts, with (a) consistent lexico-semantic, reading &amp; writing, and prosodic impairments; (b) inconsistent deficits in motor speech and grammar; and (c) relative preservation of phonological skills. Also, preliminary findings suggest that the severity of speech and language deficits might be associated with global cognitive impairment, predominantly temporal or fronto-temporal atrophy and MAPT mutations (vs C9orf72). Although under-recognized, these impairments contribute to patient characterization and phenotyping, while potentially informing diagnosis and management.</t>
  </si>
  <si>
    <t>Geraudie, Amandine/JCO-2749-2023; Mastrangelo, Mario/G-6519-2018; Montembeault, Maxime/U-6604-2019; García, Adolfo/E-7150-2017; Battista, Petronilla/G-2538-2019</t>
  </si>
  <si>
    <t>Montembeault, Maxime/0000-0002-9369-0498; Battista, Petronilla/0000-0002-3120-1214</t>
  </si>
  <si>
    <t>0149-7634</t>
  </si>
  <si>
    <t>1873-7528</t>
  </si>
  <si>
    <t>10.1016/j.neubiorev.2021.10.015</t>
  </si>
  <si>
    <t>WOS:000715066900005</t>
  </si>
  <si>
    <t>Deluigi, OR; Pasianot, RC; Valencia, FJ; Caro, A; Farkas, D; Bringa, EM</t>
  </si>
  <si>
    <t>Deluigi, O. R.; Pasianot, R. C.; Valencia, F. J.; Caro, A.; Farkas, D.; Bringa, E. M.</t>
  </si>
  <si>
    <t>Simulations of primary damage in a High Entropy Alloy: Probing enhanced radiation resistance</t>
  </si>
  <si>
    <t>ACTA MATERIALIA</t>
  </si>
  <si>
    <t>High Entropy Alloys (HEA) attract attention as possible radiation resistant materials, a feature observed in some experiments that has been attributed to several unique properties of HEA, in particular to the disorder-induced reduced thermal conductivity and to the peculiar defect properties originating from the chemical complexity. To explore the origin of such behavior we study the early stages (less than 0.1 ns), of radiation damage response of a HEA using molecular dynamics simulations of collision cascades induced by primary knock-on atoms (PKA) with 10, 20 and 40 keV, at room temperature, on an idealized model equiatomic quinary fcc FeNiCrCoCu alloy, the corresponding Average Atom (AA) material, and on pure Ni. We include accurate corrections to describe short-range atomic interactions during the cascade. In all cases the average number of defects in the HEA is lower than for pure Ni, which has been previously used to help claiming that HEA is radiation resistant. However, simulated defect evolution during primary damage, including the number of surviving Frenkel Pairs, and the defect cluster size distributions are nearly the same in all cases, within our statistical uncertainty. The number of surviving FP in the alloy is predicted fairly well by analytical models of defect production in pure materials. All of this indicates that the origin of radiation resistance in HEAs as observed in experiments may not be related to a reduction in primary damage due to chemical disorder, but is probably caused by longer-time defect evolution. (c) 2021 Acta Materialia Inc. Published by Elsevier Ltd. All rights reserved.</t>
  </si>
  <si>
    <t>Valencia, Felipe/D-9223-2015; Bringa, Eduardo/F-8918-2011; Deluigi, Orlando/MBH-0890-2025</t>
  </si>
  <si>
    <t>Deluigi, Orlando/0000-0002-2841-9781; Bringa, Eduardo/0000-0002-1403-1954</t>
  </si>
  <si>
    <t>1359-6454</t>
  </si>
  <si>
    <t>1873-2453</t>
  </si>
  <si>
    <t>10.1016/j.actamat.2021.116951</t>
  </si>
  <si>
    <t>WOS:000670078400006</t>
  </si>
  <si>
    <t>Peng, J; Tang, JN; Tang, PH; Ren, ZZ; Tian, JL; Barraza, N; Barrios, GA; Lamata, L; Solano, E; Albarrán-Arriagada, F</t>
  </si>
  <si>
    <t>Peng, Jie; Tang, Jianing; Tang, Pinghua; Ren, Zhongzhou; Tian, Junlong; Barraza, Nancy; Barrios, Gabriel Alvarado; Lamata, Lucas; Solano, Enrique; Albarran-Arriagada, F.</t>
  </si>
  <si>
    <t>Deterministic single-photon source in the ultrastrong-coupling regime</t>
  </si>
  <si>
    <t>We propose a high-quality deterministic single-photon source which can not only works in the ultrastrong light-matter coupling regime, but also emits two single photons with an arbitrary time separation, in one excitation process. We find that the special solutions of the two-qubit quantum Rabi and Jaynes-Cummings models which have at most one photon and constant eigenenergies can be used to implement this proposal through two consecutive adiabatic evolutions, and the system goes back to the initial state of the next period automatically after photon emission. Due to their peculiarities and reach of the ultrastrong coupling, the adiabatic evolution can be quite fast and further accelerated with the Stark shift. This Letter paves the way to fast quantum information protocols which take advantage of the ultrastrong coupling and avoid its dynamical complexity simultaneously.</t>
  </si>
  <si>
    <t>Solano, Enrique/C-2895-2017; Tang, Jianing/ISA-7540-2023; 彭, 杰/IRZ-2087-2023; Alvarado, Gabriel/GLS-6513-2022; Tang, Pinghua/O-4221-2018; Lamata, Lucas/CAG-6488-2022</t>
  </si>
  <si>
    <t>Peng, Jie/0000-0002-9073-9081; Lamata, Lucas/0000-0002-9504-8685; Tian, Junlong/0000-0001-5447-5034; Tang, Pinghua/0000-0003-2285-9812; SOLANO VILLANUEVA, ENRIQUE LEONIDAS/0000-0002-8602-1181; Albarran-Arriagada, Francisco/0000-0001-8899-3673</t>
  </si>
  <si>
    <t>L031701</t>
  </si>
  <si>
    <t>10.1103/PhysRevA.108.L031701</t>
  </si>
  <si>
    <t>WOS:001103703800003</t>
  </si>
  <si>
    <t>Silva, DAS; Pelegrini, A; Christofaro, DGD; Ferrari, EP; Ferrari, G; Silva, KS; Lima, LRAD; Nardo, N; Silva, RJD; Barbosa, VC</t>
  </si>
  <si>
    <t>Silva, Diego Augusto Santos; Pelegrini, Andreia; Christofaro, Diego Giulliano Destro; Ferrari, Elisa Pinheiro; Ferrari, Gerson; Silva, Kelly Samara; Lima, Luiz Rodrigo Augustemak de; Nardo Junior, Nelson; Silva, Roberto Jeronimo dos Santos; Barbosa Filho, Valter Cordeiro</t>
  </si>
  <si>
    <t>Results from Brazil's 2022 Report Card on Physical Activity for Children and Adolescents</t>
  </si>
  <si>
    <t>This research aims to summarize the process and results of the 2022 Report Card on Physical Activity for Brazilian children and adolescents. A group of experts led by 10 PhD researchers gathered the best possible evidence on physical activity indicators. The Report Card Brazil 2022 included the top 10 indicators of physical activity and sleep, obesity, and poor mental health variables, which made up four dimensions: (I) Daily Behaviors; (II) Settings and Sources of Influence; (III) Government Strategies and Investments; and (IV) Health Outcomes. Comprehensive searches, including peer-reviewed and gray literature searches, were performed for each indicator. Data were considered from systematic reviews, local and national surveys, websites, and official information from the Brazilian Federal Government. Grades from the indicators ranged from F (Active Play) to B (School). In addition, the results found for each indicator were Overall Physical Activity (D), Organized Sport Participation (C-), Active Transportation (C), Sedentary Behaviors (D), Sleep (C), Family and Peers (C-), Community and Environment (C), Government (D+), Physical Fitness (D+), Obesity (11.7%), and Poor Mental Health (37.8%). Successfully strategies for increasing physical activity among Brazilian children and adolescents should look at the different indicators presented in this report.</t>
  </si>
  <si>
    <t>Ferrari, Gerson/ABG-6635-2021; Silva, Roberto/ABA-9582-2021; Ferrari, Gerson/P-1152-2014; Pelegrini, Andreia/T-7811-2018; Silva, Diego Augusto Santos/AAB-9249-2020; Silva, Kelly Samara/AAX-8307-2020; Barbosa Filho, Valter/F-9025-2011; Nardo Junior, Nelson/I-1729-2013</t>
  </si>
  <si>
    <t>Ferrari, Gerson/0000-0003-3177-6576; Augustemak de Lima, Luiz Rodrigo/0000-0003-0280-0151; Pelegrini, Andreia/0000-0001-8862-9636; Silva, Diego Augusto Santos/0000-0002-0489-7906; Silva, Kelly Samara/0000-0002-7356-1680; Barbosa Filho, Valter/0000-0002-4769-4068; Nardo Junior, Nelson/0000-0002-6862-7868</t>
  </si>
  <si>
    <t>10.3390/ijerph191610256</t>
  </si>
  <si>
    <t>WOS:000846563900001</t>
  </si>
  <si>
    <t>Agostinis-Sobrinho, C; Ramírez-Vélez, R; García-Hermoso, A; Rosário, R; Moreira, C; Lopes, L; Martinkenas, A; Mota, J; Santos, R</t>
  </si>
  <si>
    <t>Agostinis-Sobrinho, Cesar; Ramirez-Velez, Robinson; Garcia-Hermoso, Antonio; Rosario, Rafaela; Moreira, Carla; Lopes, Luis; Martinkenas, Arvydas; Mota, Jorge; Santos, Rute</t>
  </si>
  <si>
    <t>The combined association of adherence to Mediterranean diet, muscular and cardiorespiratory fitness on low-grade inflammation in adolescents: a pooled analysis</t>
  </si>
  <si>
    <t>EUROPEAN JOURNAL OF NUTRITION</t>
  </si>
  <si>
    <t>Purpose Low-grade inflammation leads to several metabolic disorders, and adherence to a Mediterranean diet (MedDiet), cardiorespiratory fitness (CRF), and muscular fitness (MF) has been considered important markers of metabolic healthy in youth. We investigated the combined association of adherence to Mediterranean diet, and muscular and cardiorespiratory fitness on high-sensitivity C-reactive protein (hs-CRP) in adolescents. Methods This is a cross-sectional analysis with 1462 adolescents (625 girls) aged 9-18 years from Colombia and Portugal. MedDiet was assessed by Kidmed questionnaire. Shuttle run test was used to assess CRF. MF was assessed by the standing long-jump and handgrip tests. High-sensitivity assays were used to obtain the hs-CRP level. Results Logistic regression shows that subjects with a low adherence to MedDiet and LowMF/LowCRF had a similar odds (OR = 2.3; 95% CI 1.2-4.0) as those with an optimal adherence to MedDiet and LowMF/LowCRF (OR = 2.3; 95% CI 1.2-5.0) of expressing high inflammatory profile when compared to those with an optimal adherence to MedDiet and HighMF/HighCRF. In addition, ANCOVA showed that subjects classified as high adherence to MedDiet and HighMF/HighCRF had, on average, the lowest levels of hs-CRP (F-(7,F-1454) = 2.051 p = 0.04). Conclusion The combination of optimal levels of CRF and MF and adherence to MedDiet is associated with lower hs-CRP. However, high MF and CRF seems to counteract the deleterious effect of having a low adherence to the MedDiet on hs-CRP levels.</t>
  </si>
  <si>
    <t>Lopes, Luis/AAX-7957-2020; García-Hermoso, Antonio/ADU-2591-2022; Martinkenas, Arvydas/HGE-4780-2022; Garcia-Hermoso, Antonio/P-1857-2017; mota, jorge/B-2980-2013; Agostinis Sobrinho, Cesar Aparecido/B-4971-2018; Rosario, Rafaela/M-6077-2013; Santos, Rute/A-6401-2012; Lopes, Luis/M-3767-2013; Ramirez-Velez, Robinson/D-5311-2016; Moreira, Carla/G-5176-2011</t>
  </si>
  <si>
    <t>Garcia-Hermoso, Antonio/0000-0002-1397-7182; mota, jorge/0000-0001-7571-9181; Agostinis Sobrinho, Cesar Aparecido/0000-0001-9104-9042; Martinkenas, Arvydas/0000-0003-1759-0433; Rosario, Rafaela/0000-0001-6986-0007; Santos, Rute/0000-0002-7604-5753; Lopes, Luis/0000-0001-6680-0893; Ramirez-Velez, Robinson/0000-0003-3075-6960; Moreira, Carla/0000-0003-1039-6320</t>
  </si>
  <si>
    <t>1436-6207</t>
  </si>
  <si>
    <t>1436-6215</t>
  </si>
  <si>
    <t>10.1007/s00394-018-1812-0</t>
  </si>
  <si>
    <t>WOS:000489562000006</t>
  </si>
  <si>
    <t>Giambiagi, L; Tassara, A; Mescua, J; Tunik, M; Alvarez, PP; Godoy, E; Hoke, G; Pinto, L; Spagnotto, S; Porras, H; Tapia, F; Jara, P; Bechis, F; García, VH; Suriano, J; Moreiras, SM; Pagano, SD</t>
  </si>
  <si>
    <t>Sepulveda, SA; Giambiagi, LB; Moreiras, SM; Pinto, L; Tunik, M; Hoke, GD; Farias, M</t>
  </si>
  <si>
    <t>Giambiagi, Laura; Tassara, Andres; Mescua, Jose; Tunik, Maisa; Alvarez, Pamela P.; Godoy, Estanislao; Hoke, Greg; Pinto, Luisa; Spagnotto, Silvana; Porras, Hernan; Tapia, Felipe; Jara, Pamela; Bechis, Florencia; Garcia, Victor H.; Suriano, Julieta; Maris Moreiras, Stella; Pagano, Sebastian D.</t>
  </si>
  <si>
    <t>Evolution of shallow and deep structures along the Maipo-Tunuyan transect (33°40′S): from the Pacific coast to the Andean foreland</t>
  </si>
  <si>
    <t>GEODYNAMIC PROCESSES IN THE ANDES OF CENTRAL CHILE AND ARGENTINA</t>
  </si>
  <si>
    <t>Geological Society Special Publication</t>
  </si>
  <si>
    <t>We propose an integrated kinematic model with mechanical constrains of the Maipo-Tunuyan transect (33 degrees 40'S) across the Andes. The model describes the relation between horizontal shortening, uplift, crustal thickening and activity of the magmatic arc, while accounting for the main deep processes that have shaped the Andes since Early Miocene time. We construct a conceptual model of the mechanical interplay between deep and shallow deformational processes, which considers a locked subduction interface cyclically released during megathrust earthquakes. During the coupling phase, long-term deformation is confined to the thermally and mechanically weakened Andean strip, where plastic deformation is achieved by movement along a main decollement located at the base of the upper brittle crust. The model proposes a passive surface uplift in the Coastal Range as the master decollement decreases its slip eastwards, transferring shortening to a broad area above a theoretical point S where the master detachment touches the Moho horizon. When the crustal root achieves its actual thickness of 50 km between 12 and 10 Ma, it resists further thickening and gravity-driven forces and thrusting shifts eastwards into the lowlands achieving a total Miocene-Holocene shortening of 71 km.</t>
  </si>
  <si>
    <t>Giambiagi, Laura/AAA-6243-2021; Tunik, Maisa/AAT-8956-2020; Pinto, Luisa/GXF-0087-2022; Garcia, Victor/ADZ-6269-2022; Tapia, Felipe/F-5036-2018</t>
  </si>
  <si>
    <t>Hoke, Gregory/0000-0002-3720-3245; Suriano, Julieta/0000-0002-3196-6399; Moreiras, Stella/0000-0001-6462-6684; Spagnotto, Silvana/0000-0003-3478-554X; Jara, Pamela/0000-0002-9717-9283; Tapia, Felipe/0000-0002-5397-3071; Garcia, Victor Hugo/0000-0002-1832-8667; Giambiagi, Laura/0000-0001-6286-7206; Tunik, Maisa/0000-0002-4593-6991</t>
  </si>
  <si>
    <t>0305-8719</t>
  </si>
  <si>
    <t>978-1-86239-653-1</t>
  </si>
  <si>
    <t>10.1144/SP399.14</t>
  </si>
  <si>
    <t>WOS:000355693800003</t>
  </si>
  <si>
    <t>Salazar-Sepúlveda, G; Vega-Muñoz, A; Contreras-Barraza, N; Castillo, D; Torres-Alcayaga, M; Cornejo-Orellana, C</t>
  </si>
  <si>
    <t>Salazar-Sepulveda, Guido; Vega-Munoz, Alejandro; Contreras-Barraza, Nicolas; Castillo, Dante; Torres-Alcayaga, Mario; Cornejo-Orellana, Carolina</t>
  </si>
  <si>
    <t>Bibliometric Analysis on Ocean Literacy Studies for Marine Conservation</t>
  </si>
  <si>
    <t>WATER</t>
  </si>
  <si>
    <t>The aim of this study is to present an overview of the current scientific literature pertaining to ocean literacy. We applied a bibliometric method to examine relational patterns among publications in a set of 192 papers indexed from 2004 to 2023 in Web of Science Core Collection, applying Price's, Lotka's, Bradford's, and Zipf's bibliometric laws to add more validation to VOSviewer and processing both data and metadata. The findings indicate a significant exponential growth in scientific output from 2004 to 2022 (R-2 = 86%), with a substantial amount of scientific research being focused on ocean literacy. The analysis shows the thematic trends of terminologies such as knowledge and citizen perception of climate change in relation to oceans; the benefits of biodiversity management and ocean conservation; and ocean education and its relation to behavior and attitudes towards and awareness of oceans. The research and its theoretical perspectives prompt an investigation of the impacts of ocean literacy outside of education, thanks to the contributions of authors from more than fifty countries dedicated to the study of these activities.</t>
  </si>
  <si>
    <t>Contreras-Barraza, Nicolás/HTP-2328-2023; Vega-Muñoz, Alejandro/AAX-7468-2021; Salazar-Sepúlveda, Guido/CAH-3395-2022</t>
  </si>
  <si>
    <t>Vega, Alejandro/0000-0002-9427-2044; Castillo, Dante/0000-0002-5648-0627; Contreras-Barraza, Nicolas/0000-0001-6729-4398; Salazar, Guido/0000-0002-4979-6869</t>
  </si>
  <si>
    <t>2073-4441</t>
  </si>
  <si>
    <t>10.3390/w15112095</t>
  </si>
  <si>
    <t>WOS:001004731800001</t>
  </si>
  <si>
    <t>Feron, S; Cordero, RR; Damiani, A; Oyola, P; Ansari, T; Pedemonte, JC; Wang, CH; Ouyang, ZT; Gallo, V</t>
  </si>
  <si>
    <t>Feron, Sarah; Cordero, Raul R.; Damiani, Alessandro; Oyola, Pedro; Ansari, Tabish; Pedemonte, Juan C.; Wang, Chenghao; Ouyang, Zutao; Gallo, Valentina</t>
  </si>
  <si>
    <t>Compound climate-pollution extremes in Santiago de Chile</t>
  </si>
  <si>
    <t>Cities in the global south face dire climate impacts. It is in socioeconomically marginalized urban communities of the global south that the effects of climate change are felt most deeply. Santiago de Chile, a major mid-latitude Andean city of 7.7 million inhabitants, is already undergoing the so-called climate penalty as rising temperatures worsen the effects of endemic ground-level ozone pollution. As many cities in the global south, Santiago is highly segregated along socioeconomic lines, which offers an opportunity for studying the effects of concurrent heatwaves and ozone episodes on distinct zones of affluence and deprivation. Here, we combine existing datasets of social indicators and climate-sensitive health risks with weather and air quality observations to study the response to compound heat-ozone extremes of different socioeconomic strata. Attributable to spatial variations in the ground-level ozone burden (heavier for wealthy communities), we found that the mortality response to extreme heat (and the associated further ozone pollution) is stronger in affluent dwellers, regardless of comorbidities and lack of access to health care affecting disadvantaged population. These unexpected findings underline the need of a site-specific hazard assessment and a community-based risk management.</t>
  </si>
  <si>
    <t>Cordero, Raul/M-7979-2017; Damiani, Alessandro/X-4677-2019; Yang, Zutao/LSL-2505-2024; Pedemonte, Juan/AAX-3060-2021; Wang, Chenghao/O-7961-2017; Gallo, Valentina/X-1139-2018</t>
  </si>
  <si>
    <t>Cordero, Raul R./0000-0001-7607-7993; Yang, Zutao/0000-0002-6919-569X; Feron, Sarah/0000-0002-0572-5639; Ansari, Tabish/0000-0001-8303-5062; Wang, Chenghao/0000-0001-8846-4130; Damiani, Alessandro/0000-0003-3014-6193; Gallo, Valentina/0000-0002-1268-8629</t>
  </si>
  <si>
    <t>10.1038/s41598-023-33890-w</t>
  </si>
  <si>
    <t>WOS:000984494600018</t>
  </si>
  <si>
    <t>García, AM; Bocanegra, Y; Herrera, E; Moreno, L; Carmona, J; Baena, A; Lopera, F; Pineda, D; Melloni, M; Legaz, A; Muñoz, E; Sedeño, L; Baez, S; Ibáñez, A</t>
  </si>
  <si>
    <t>Garcia, Adolfo M.; Bocanegra, Yamile; Herrera, Elena; Moreno, Leonardo; Carmona, Jairo; Baena, Ana; Lopera, Francisco; Pineda, David; Melloni, Margherita; Legaz, Agustina; Munoz, Edinson; Sedeno, Lucas; Baez, Sandra; Ibanez, Agustin</t>
  </si>
  <si>
    <t>Parkinson's disease compromises the appraisal of action meanings evoked by naturalistic texts</t>
  </si>
  <si>
    <t>The linguistic profile of Parkinson's disease (PD) is characterized by difficulties in processing units which denote bodily movements. However, the available evidence has low ecological validity, as it stems from atomistic tasks which are never encountered in real life. Here, we assessed whether such deficits also occur for meanings evoked by context rich narratives, considering patients with and without mild cognitive impairment (PD-MCI and PD-nMCI, respectively) and matched controls for each group. Participants read two naturalistic stories (an action text and a neutral text) and responded to questions tapping the appraisal of verb-related and circumstantial information. In PD-MCI, impairments in the appraisal of action meanings emerged alongside difficulties in other categories, but they were unique in their independence from general cognitive dysfunction. However, in PD-nMCI, deficits were observed only for action meanings, irrespective of the patients' domain-general skills (executive functions and general cognitive state). Also, using multiple group discriminant function analyses, we found that appraisal of action meanings was the only discourse-level variable that robustly contributed to classifying PD-MCI patients from controls (with an accuracy of 88% for all participants and for each sample separately). Moreover, this variable actually superseded a sensitive executive battery in discriminating between PD-nMCI and controls (with a combined accuracy of 83% for all participants, correctly classifying 79.2% of patients and 87.5% of controls). In sum, action appraisal deficits seem to constitute both a hallmark of naturalistic discourse Processing in PD and a sensitive subject-level marker for patients with and without MCI. Such findings highlight the relevance of ecological measures of embodied cognitive functions in the assessment of this population. (C) 2017 Elsevier Ltd. All rights reserved.</t>
  </si>
  <si>
    <t>Carmona, Jairo/AAV-3962-2021; LOPERA, FRANCISCO/AAR-5968-2021; Pineda, David/AAE-4785-2020; Herrera, Elena/E-3603-2013; Baez, Sandra/ABC-7150-2020; Ibanez, Agustin/H-7976-2015; Garcia, Adolfo/E-7150-2017</t>
  </si>
  <si>
    <t>Ibanez, Agustin/0000-0001-6758-5101; Carmona-Arroyave, Jairo/0000-0002-1196-4652; Herrera, Elena/0000-0001-9942-5356; melloni, margherita/0000-0003-0931-8640; Garcia, Adolfo/0000-0002-6936-0114; Pineda, David A/0000-0002-1080-4796</t>
  </si>
  <si>
    <t>10.1016/j.cortex.2017.07.003</t>
  </si>
  <si>
    <t>WOS:000428097100010</t>
  </si>
  <si>
    <t>Araya, E; Olmedo, I; Bastus, NG; Guerrero, S; Puntes, VF; Giralt, E; Kogan, MJ</t>
  </si>
  <si>
    <t>Araya, Eyleen; Olmedo, Ivonne; Bastus, Neus G.; Guerrero, Simon; Puntes, Victor F.; Giralt, Ernest; Kogan, Marcelo J.</t>
  </si>
  <si>
    <t>Gold Nanoparticles and Microwave Irradiation Inhibit Beta-Amyloid Amyloidogenesis</t>
  </si>
  <si>
    <t>NANOSCALE RESEARCH LETTERS</t>
  </si>
  <si>
    <t>Peptide-Gold nanoparticles selectively attached to beta-amyloid protein (A beta) amyloidogenic aggregates were irradiated with microwave. This treatment produces dramatic effects on the A beta aggregates, inhibiting both the amyloidogenesis and the restoration of the amyloidogenic potential. This novel approach offers a new strategy to inhibit, locally and remotely, the amyloidogenic process, which could have application in Alzheimer's disease therapy. We have studied the irradiation effect on the amyloidogenic process in the presence of conjugates peptide-nanoparticle by transmission electronic microscopy observations and by Thioflavine T assays to quantify the amount of fibrils in suspension. The amyloidogenic aggregates rather than the amyloid fibrils seem to be better targets for the treatment of the disease. Our results could contribute to the development of a new therapeutic strategy to inhibit the amyloidogenic process in Alzheimer's disease.</t>
  </si>
  <si>
    <t>Guerrero, Simon/GPF-5832-2022; kogan, Marcelo/I-2868-2013; Puntes, Victor/AAL-6081-2021; giralt, ernest/N-1669-2014; Olmedo, Ivonne/N-7985-2018; puntes, victor/F-8407-2013; G. Bastus, Neus/J-2407-2012</t>
  </si>
  <si>
    <t>puntes, victor/0000-0001-8996-9499; G. Bastus, Neus/0000-0002-3144-7986; Guerrero, Simon/0000-0002-3003-0337; Kogan, Marcelo/0000-0003-0608-5087</t>
  </si>
  <si>
    <t>1931-7573</t>
  </si>
  <si>
    <t>1556-276X</t>
  </si>
  <si>
    <t>10.1007/s11671-008-9178-5</t>
  </si>
  <si>
    <t>WOS:000260378300006</t>
  </si>
  <si>
    <t>Chalapathi, U; Kumar, YBK; Reddy, NP; Alhammadi, S; Dhanalakshmi, R; Reddy, GS; El-marghany, A; Mohanarangam, K; Sangaraju, S; Reddy, VRM; Park, SH</t>
  </si>
  <si>
    <t>Chalapathi, U.; Kumar, Y. B. Kishore; Reddy, Nandarapu Purushotham; Alhammadi, Salh; Dhanalakshmi, Radhalayam; Reddy, Golkonda Srinivas; El-marghany, Adel; Mohanarangam, Krithikaa; Sangaraju, Sambasivam; Reddy, Vasudeva Reddy Minnam; Park, Si-Hyun</t>
  </si>
  <si>
    <t>Cu4SnS4 thin films fabricated by sulfurizing thermally evaporated Cu/Sn/Cu metal layers</t>
  </si>
  <si>
    <t>Cu4SnS4 thin films show potential for photovoltaic applications due to their direct bandgap and high absorption coefficient. This study explores a two-step process for fabricating these films through thermal evaporation followed by sulfurization. Cu/Sn/Cu layers are deposited on Mo-coated glass substrates, and then sulfurized in a furnace at 550 degrees C for 10 to 60 min. Films sulfurized for 10 and 30 min exhibited large grain sizes, a highly crystalline structure, and uniform surface morphology, with bandgaps between 1.05-1.1 eV and electrical resistivity between 0.87 and 0.65 ohm cm, making them suitable for solar cells. However, sulfurization for 60 min caused a reduction in thickness and pinhole formation due to material loss. This method shows promise for producing high-quality Cu4SnS4 films for thin-film solar cells.</t>
  </si>
  <si>
    <t>Sangaraju, Sambasivam/Z-5686-2019; KUMAR, Y.B. KISHORE/GLR-0431-2022; Alhammadi, Salh/ABZ-2324-2022; Mohanarangam, Krithikaa/IAO-1286-2023</t>
  </si>
  <si>
    <t>PURUSHOTHAM REDDY, N/0000-0003-2795-4421</t>
  </si>
  <si>
    <t>10.1016/j.physb.2024.416876</t>
  </si>
  <si>
    <t>WOS:001414292900001</t>
  </si>
  <si>
    <t>García, AM; Escobar-Grisales, D; Correa, JCV; Bocanegra, Y; Moreno, L; Carmona, J; Orozco-Arroyave, JR</t>
  </si>
  <si>
    <t>Garcia, Adolfo M.; Escobar-Grisales, Daniel; Vasquez Correa, Juan Camilo; Bocanegra, Yamile; Moreno, Leonardo; Carmona, Jairo; Rafael Orozco-Arroyave, Juan</t>
  </si>
  <si>
    <t>Detecting Parkinson's disease and its cognitive phenotypes via automated semantic analyses of action stories</t>
  </si>
  <si>
    <t>NPJ PARKINSONS DISEASE</t>
  </si>
  <si>
    <t>Action-concept outcomes are useful targets to identify Parkinson's disease (PD) patients and differentiate between those with and without mild cognitive impairment (PD-MCI, PD-nMCI). Yet, most approaches employ burdensome examiner-dependent tasks, limiting their utility. We introduce a framework capturing action-concept markers automatically in natural speech. Patients from both subgroups and controls retold an action-laden and a non-action-laden text (AT, nAT). In each retelling, we weighed action and non-action concepts through our automated Proximity-to-Reference-Semantic-Field (P-RSF) metric, for analysis via ANCOVAs (controlling for cognitive dysfunction) and support vector machines. Patients were differentiated from controls based on AT (but not nAT) P-RSF scores. The same occurred in PD-nMCI patients. Conversely, PD-MCI patients exhibited reduced P-RSF scores for both texts. Direct discrimination between patient subgroups was not systematic, but it yielded best outcomes via AT scores. Our approach outperformed classifiers based on corpus-derived embeddings. This framework opens scalable avenues to support PD diagnosis and phenotyping.</t>
  </si>
  <si>
    <t>Carmona, Jairo/AAV-3962-2021; Vasquez-Correa, Juan/AAE-7371-2019; García, Adolfo/E-7150-2017</t>
  </si>
  <si>
    <t>Orozco-Arroyave, Juan Rafael/0000-0002-8507-0782; Vasquez-Correa, Juan Camilo/0000-0003-4946-9232; Escobar Grisales, Daniel/0000-0002-3257-0134</t>
  </si>
  <si>
    <t>2373-8057</t>
  </si>
  <si>
    <t>NOV 25</t>
  </si>
  <si>
    <t>10.1038/s41531-022-00422-8</t>
  </si>
  <si>
    <t>WOS:000888731100001</t>
  </si>
  <si>
    <t>Herreros-Irarrázabal, D; Guzmán-Habinger, JM; Marques, A; Kovalskys, I; Gómez, G; Rigotti, A; Cortés, LY; García, MCY; Liria-Domínguez, MR; Herrera-Cuenca, M; Fisberg, M; Ferrari, G</t>
  </si>
  <si>
    <t>Herreros-Irarrazabal, Diego; Guzman-Habinger, Juan M.; Marques, Adilson; Kovalskys, Irina; Gomez, Georgina; Rigotti, Attilio; Cortes, Lilia Y.; Yepez Garcia, Martha C.; Liria-Dominguez, Maria R.; Herrera-Cuenca, Marianella; Fisberg, Mauro; Ferrari, Gerson</t>
  </si>
  <si>
    <t>Active Transportation, Public Transport And Objectively Measured Meeting Of Physical Activity Guidelines In Adults</t>
  </si>
  <si>
    <t>Gomez, Georgina/AAR-7272-2020; Ferrari, Gerson/HHM-6173-2022; Liria, Reyna/CAA-0410-2022; Cortes, Lilia/AAF-2960-2019; Ferrari, Gerson/P-1152-2014; Marques, Adilson/K-4529-2014</t>
  </si>
  <si>
    <t>WOS:000888056602068</t>
  </si>
  <si>
    <t>Rosaiah, P; Dhanalakshmi, R; Kumar, KN; Siddiqui, MR; Reddy, GVL; Reddy, NNK; Zhang, LW; Nunna, GP; Ko, TJ</t>
  </si>
  <si>
    <t>Rosaiah, P.; Dhanalakshmi, Radhalayam; Kumar, Kilari Naveen; Siddiqui, Masoom Raza; Reddy, G. V. Lokeswara; Reddy, N. Nanda Kumar; Zhang, Liwen; Nunna, Guru Prakash; Ko, Tae Jo</t>
  </si>
  <si>
    <t>Eco-Innovation in Bi-Metallic Oxides: Pioneering Solutions for Dye Contamination and Bacterial Challenges</t>
  </si>
  <si>
    <t>JOURNAL OF CLUSTER SCIENCE</t>
  </si>
  <si>
    <t>This study delineates the synthesis of bimetallic bismuth nickel oxide (BNO) nanoparticles employing a microwave combustion method that integrates a green synthesis approach using Trachyspermum ammi (Ajwain) seed extract. The nanoparticles were subjected to an exhaustive suite of analytical techniques to assess their morphological, structural, optical, and electronic characteristics. Techniques utilized included scanning electron microscopy (SEM), transmission electron microscopy (TEM), X-ray diffraction (XRD), UV-diffuse reflectance spectroscopy (DRS), Fourier transform infrared spectroscopy (FTIR), and X-ray photoelectron spectroscopy (XPS). Photocatalytic performance of the synthesized BNO nanoparticles was evaluated through the degradation of Malachite Green (MG), a prevalent synthetic dye and notable aquatic contaminant. The nanoparticles exhibited a photodegradation efficiency of 97.18% for MG, following pseudo-first-order kinetics with a rate constant of 0.04669 min- 1. The degradation mechanism was elucidated through the scavenging of reactive oxygen species, particularly superoxide (O-2 center dot-) and hydroxyl radicals (center dot OH), identifying them as the primary reactive species. In addition to photocatalytic activities, the BNO nanoparticles were tested for antibacterial efficacy of 93.97% and 96.69% against two bacterial strains such as Enterococcus faecalis (Gram-positive) and Escherichia coli (Gram-negative) respectively, demonstrating significant antibacterial properties.</t>
  </si>
  <si>
    <t>Siddiqui, Prof Masoom/ABC-7839-2020; Nunna, Guru Prakash/AFO-6502-2022</t>
  </si>
  <si>
    <t>1040-7278</t>
  </si>
  <si>
    <t>1572-8862</t>
  </si>
  <si>
    <t>10.1007/s10876-025-02794-2</t>
  </si>
  <si>
    <t>WOS:001460331300009</t>
  </si>
  <si>
    <t>Chalapathi, U; Cuddapah, DR; Reddy, PB; Alhammadi, S; Alshgari, RA; Radhalayam, D; Golkonda, SR; Sangaraju, S; Mohanarangam, K; Reddy, V; Park, SH</t>
  </si>
  <si>
    <t>Chalapathi, U.; Cuddapah, Dhananjaya Rao; Reddy, Purusottam B.; Alhammadi, Salh; Alshgari, Razan A.; Radhalayam, Dhanalakshmi; Golkonda, Srinivas Reddy; Sangaraju, Sambasivam; Mohanarangam, Krithikaa; Reddy, Vasudeva; Park, Si-Hyun</t>
  </si>
  <si>
    <t>Cu-doped Bi2S3 nanorod films via chemical synthesis for improved photoelectrochemical water splitting</t>
  </si>
  <si>
    <t>Bismuth sulfide (Bi2S3) is a promising photoelectrochemical (PEC) material due to its favorable optoelectronic properties. However, its overall PEC performance is limited by slow charge transport and high electron-hole recombination at the Bi2S3-electrolyte interface. In this study, we have intentionally introduced Cu into Bi2S3 photoelectrodes to enhance both their physical properties and PEC performance. Cu-doping concentrations ranging from 0 to 8.4 at.% were incorporated into Bi2S3 films synthesized via chemical bath deposition followed by annealing. The undoped Bi2S3 photoelectrodes exhibited nanorods with lengths of 50-100 nm, a direct bandgap of 1.26 eV, and a photocurrent density of 4.7 mA/cm2 at 1.5 V vs Hg/HgO. As the Cu- doping concentration increased from 1.0 to 4.4 at.%, the nanorod length extended to 200-400 nm, with a corresponding increase in density, leading to an enhanced photocurrent density of 6.8 mA/cm2. However, further increasing the Cu-doping concentration to 8.4 at.% resulted in a reduction in film thickness, nanorod density, and a decrease in photocurrent to 6.0 mA/cm2. These results demonstrate that Cu-doping in Bi2S3 significantly increases nanorod density and improves both the physical and PEC properties, offering a promising approach for developing more efficient PEC water-splitting devices.</t>
  </si>
  <si>
    <t>Alhammadi, Salh/ABZ-2324-2022; Mohanarangam, Krithikaa/IAO-1286-2023; Sangaraju, Sambasivam/Z-5686-2019</t>
  </si>
  <si>
    <t>Cuddapah, Dhananjaya Rao/0000-0003-3173-7817; Mohanarangam, Krithikaa/0000-0001-6339-5036; Alhammadi, Salh/0000-0001-9546-0429; bommireddy, purusottam reddy/0000-0002-1100-7895</t>
  </si>
  <si>
    <t>10.1016/j.optmat.2024.116289</t>
  </si>
  <si>
    <t>WOS:001352834200001</t>
  </si>
  <si>
    <t>Cordero, RR; Feron, S; Sepúlveda, E; Damiani, A; Carrera, JM; Jorquera, J; Alfonso, JA; Fuenzalida, R; Rivas, M; MacDonell, S; Seckmeyer, G; Wang, CH; Ouyang, ZT; Lhermitte, S</t>
  </si>
  <si>
    <t>Cordero, Raul R.; Feron, Sarah; Sepulveda, Edgardo; Damiani, Alessandro; Carrera, Juan M.; Jorquera, Jose; Alfonso, Juan A.; Fuenzalida, Rosalino; Rivas, Miguel; MacDonell, Shelley; Seckmeyer, Gunther; Wang, Chenghao; Ouyang, Zutao; Lhermitte, Stef</t>
  </si>
  <si>
    <t>Evaluation of MODIS-derived estimates of the albedo over the Atacama Desert using ground-based spectral measurements</t>
  </si>
  <si>
    <t>Surface albedo is an important forcing parameter that drives the radiative energy budget as it determines the fraction of the downwelling solar irradiance that the surface reflects. Here we report on ground-based measurements of the spectral albedo (350-2200 nm) carried out at 20 sites across a North-South transect of approximately 1300 km in the Atacama Desert, from latitude 18 degrees S to latitude 30 degrees S. These spectral measurements were used to evaluate remote sensing estimates of the albedo derived from the Moderate Resolution Imaging Spectroradiometer (MODIS). We found that the relative mean bias error (RMBE) of MODIS-derived estimates was within +/- 5% of ground-based measurements in most of the Atacama Desert (18-27 degrees S). Although the correlation between MODIS-derived estimates and ground-based measurements remained relatively high (R= 0.94), RMBE values were slightly larger in the southernmost part of the desert (27-30 degrees S). Both MODIS-derived data and ground-based measurements show that the albedo at some bright spots in the Atacama Desert may be high enough (up to 0.25 in visible range) for considerably boosting the performance of bifacial photovoltaic technologies (6-12%).</t>
  </si>
  <si>
    <t>Cordero, Raul/M-7979-2017; Lhermitte, Stef (Stefaan)/A-3385-2013; Damiani, Alessandro/X-4677-2019; MacDonell, Shelley/J-2480-2016; Yang, Zutao/LSL-2505-2024; Wang, Chenghao/O-7961-2017</t>
  </si>
  <si>
    <t>Lhermitte, Stef/0000-0002-1622-0177; Feron, Sarah/0000-0002-0572-5639; Yang, Zutao/0000-0002-6919-569X; Wang, Chenghao/0000-0001-8846-4130; Cordero, Raul R./0000-0001-7607-7993; Damiani, Alessandro/0000-0003-3014-6193; RIVAS AVILA, MIGUEL JULIO NORBERTO/0009-0005-6388-5648; MacDonell, Shelley/0000-0001-9641-4547</t>
  </si>
  <si>
    <t>10.1038/s41598-021-98622-4</t>
  </si>
  <si>
    <t>WOS:000706380800038</t>
  </si>
  <si>
    <t>Avudaiappan, S; Prakatanoju, S; Amran, M; Aepuru, R; Flores, ESI; Das, R; Gupta, R; Fediuk, R; Vatin, N</t>
  </si>
  <si>
    <t>Avudaiappan, Siva; Prakatanoju, Supriya; Amran, Mugahed; Aepuru, Radhamanohar; Saavedra Flores, Erick I.; Das, Raj; Gupta, Rishi; Fediuk, Roman; Vatin, Nikolai</t>
  </si>
  <si>
    <t>Experimental Investigation and Image Processing to Predict the Properties of Concrete with the Addition of Nano Silica and Rice Husk Ash</t>
  </si>
  <si>
    <t>The use of the combination of ultrafine rice husk ash (RHA) and nano silica (NS) enhances the compactness of hardened concrete, but there is still a lack of studies that address the effects of NS and RHA on the workability, mechanical properties and pore microstructure of concrete. This study mainly aims to investigate the influence of the pore size distribution in multiphysics concrete model modified by NS and RHA and to determine the workability and mechanical properties of concrete with NS and RHA. In this work, NS and RHA were used as 0, 5, 10, 15 and 20% replacements of ordinary Portland cement (OPC) in concrete grade M20. Concrete mixed with NS and RHA showed improved performance for up to 10% addition of NS and RHA. Further addition of NS and RHA showed a decrease in performance at 7, 14 and 28 days. The decrease in concrete porosity was also found to be up to 10% when adding NS and RHA to cement. Image processing was performed on the cement-based materials to describe the microstructure of the targeted material without damage. The results from the experimental and tomography images were utilized to investigate the concrete microstructure and predict its inner properties.</t>
  </si>
  <si>
    <t>AEPURU, RADHAMANOHAR/AAT-4645-2020; Vatin, Nikolai Ivanovich/O-6995-2019; Avudaiappan, Siva/AAV-7579-2021; amran, mugahed/AAW-4821-2020; Gupta, Rishi/D-1181-2015; Fediuk, Roman/N-6730-2017</t>
  </si>
  <si>
    <t>AVUDAIAPPAN, SIVA/0000-0002-4289-4298; Vatin, Nikolai Ivanovich/0000-0002-1196-8004; Gupta, Rishi/0000-0002-3402-6095; Fediuk, Roman/0000-0002-2279-1240</t>
  </si>
  <si>
    <t>10.3390/cryst11101230</t>
  </si>
  <si>
    <t>WOS:000714896300001</t>
  </si>
  <si>
    <t>Härer, LK; Parker, ML; El Mellah, I; Grinberg, V; Ballhausen, R; Igo, Z; Joyce, A; Wilms, J</t>
  </si>
  <si>
    <t>Haerer, L. K.; Parker, M. L.; El Mellah, I.; Grinberg, V.; Ballhausen, R.; Igo, Z.; Joyce, A.; Wilms, J.</t>
  </si>
  <si>
    <t>Stellar-wind variability in Cygnus X-1 from high-resolution excess variance spectroscopy with Chandra</t>
  </si>
  <si>
    <t>Context. Stellar winds of massive stars are known to be driven by line absorption of UV photons, a mechanism that is prone to instabilities, causing the wind to be clumpy. The clumpy structure hampers wind mass-loss estimates, limiting our understanding of massive star evolution. The wind structure also impacts accretion in high-mass X-ray binary (HMXB) systems. Aims. We aim to analyse the wavelength-dependent variability of X-ray absorption in the wind to study its structure. Such an approach is possible in HMXBs, where the compact object serves as an X-ray backlight. We probe different parts of the wind by analysing data taken at superior and inferior conjunctions. Methods. We applied excess variance spectroscopy to study the wavelength-dependent soft (2-14 angstrom) X-ray variability of the HMXB Cygnus X-1 in the hard spectral state. Excess variance spectroscopy quantifies the variability of an object above the statistical noise as a function of wavelength, which allows us to study the variability of individual spectral lines. This technique was applied to high-resolution gratings spectra provided by Chandra, accounting for various systematic effects. The frequency dependence is investigated by changing the time binning. Results. The strong orbital phase dependence we observe in the excess variance is consistent with column-density variations predicted by a simple model for a clumpy wind. We identify spikes of increased variability with spectral features found by previous spectroscopic analyses of the same data set, most notably from silicon in over-dense clumps in the wind. In the silicon line region, the variability power is redistributed towards lower frequencies, hinting at increased line variability in large clumps. In prospect of the microcalorimetry missions that are scheduled to launch within the next decade, excess variance spectra present a promising approach to constraining the wind structure, especially if accompanied by models that consider changing ionisation.</t>
  </si>
  <si>
    <t>Parker, Michael/AAU-8193-2021; Wilms, Josefine/HHM-2907-2022; Parker, Michael/G-5488-2017; Wilms, Jorn/C-8116-2013</t>
  </si>
  <si>
    <t>EL MELLAH, Ileyk/0000-0003-1075-0326; Parker, Michael/0000-0002-8466-7317; Grinberg, Victoria/0000-0003-2538-0188; Ballhausen, Ralf/0000-0002-1118-8470; Harer, Lucia/0000-0002-5377-0493; Wilms, Jorn/0000-0003-2065-5410</t>
  </si>
  <si>
    <t>DEC 8</t>
  </si>
  <si>
    <t>A72</t>
  </si>
  <si>
    <t>10.1051/0004-6361/202346669</t>
  </si>
  <si>
    <t>WOS:001142569000007</t>
  </si>
  <si>
    <t>López-García, D; Cuéllar-Padilla, M; Olival, AD; Laranjeira, NP; Méndez, VE; Parada, SPY; Barbosa, CA; Salas, CB; Caswell, M; Cohen, R; Correro-Humanes, A; García-García, V; Gliessman, SR; Pomar-León, A; Sastre-Morató, A; Tendero-Acín, G</t>
  </si>
  <si>
    <t>Lopez-Garcia, Daniel; Cuellar-Padilla, Mamen; de Azevedo Olival, Alexandre; Paula Laranjeira, Nina; Ernesto Mendez, V; Peredo y Parada, Santiago; Adriano Barbosa, Cesar; Barrera Salas, Claudia; Caswell, Martha; Cohen, Roseann; Correro-Humanes, Ana; Garcia-Garcia, Veronica; Gliessman, Stephen R.; Pomar-Leon, Ariadna; Sastre-Morato, Annais; Tendero-Acin, Guillem</t>
  </si>
  <si>
    <t>Building agroecology with people. Challenges of participatory methods to deepen on the agroecological transition in different contexts</t>
  </si>
  <si>
    <t>JOURNAL OF RURAL STUDIES</t>
  </si>
  <si>
    <t>López-García, Daniel/AAE-2122-2022; Cuéllar-Padilla, Mamen/AAS-3656-2021</t>
  </si>
  <si>
    <t>Caswell, Martha/0000-0002-9238-996X; Cuellar Padilla, Maria del Carmen/0000-0002-2466-7454; Lopez-Garcia, Daniel/0000-0003-2265-880X; Barrera Salas, Claudia Paz/0000-0001-7895-3045</t>
  </si>
  <si>
    <t>0743-0167</t>
  </si>
  <si>
    <t>1873-1392</t>
  </si>
  <si>
    <t>10.1016/j.jrurstud.2021.02.003</t>
  </si>
  <si>
    <t>WOS:000636688600026</t>
  </si>
  <si>
    <t>Chavez, JL; Guzmán-Habinger, J; Kovalskys, I; Gómez, G; Rigotti, A; Cortés, LY; García, MY; Liria-Domínguez, MR; Herrera-Cuenca, M; Fisberg, M; Marques, A; Marconcin, P; Ferrari, G</t>
  </si>
  <si>
    <t>Chavez, Javiera L.; Guzman-Habinger, Juan; Kovalskys, Irina; Gomez, Georgina; Rigotti, Atilio; Yadira Cortes, Lilia; Yepez Garcia, Martha; Liria-Dominguez, Maria Reyna; Herrera-Cuenca, Marianella; Fisberg, Mauro; Marques, Adilson; Marconcin, Priscila; Ferrari, Gerson</t>
  </si>
  <si>
    <t>Relationships Between Socio-demographic Correlates And Human Development Index With Physical Activity Intensity In Eight Countries</t>
  </si>
  <si>
    <t>Gomez, Georgina/AAR-7272-2020; Marconcin, Priscila/GRO-2708-2022; Liria, Reyna/CAA-0410-2022; Ferrari, Gerson/HHM-6173-2022; Cortes, Lilia/AAF-2960-2019; Ferrari, Gerson/P-1152-2014; Marques, Adilson/K-4529-2014</t>
  </si>
  <si>
    <t>WOS:000888056602093</t>
  </si>
  <si>
    <t>Das, P; McGrath, J; Fang, ZY; Boyd, A; Jang, G; Mohammadi, A; Purnapatra, S; Yambay, D; Marcel, S; Trokielewicz, M; Maciejewicz, P; Bowyer, K; Czajka, A; Schuckers, S; Tapia, J; Gonzalez, S; Fang, ML; Damer, N; Boutros, F; Kuijper, A; Sharma, R; Chen, CJ; Ross, A</t>
  </si>
  <si>
    <t>Das, Priyanka; McGrath, Joseph; Fang, Zhaoyuan; Boyd, Aidan; Jang, Ganghee; Mohammadi, Amir; Purnapatra, Sandip; Yambay, David; Marcel, Sebastien; Trokielewicz, Mateusz; Maciejewicz, Piotr; Bowyer, Kevin; Czajka, Adam; Schuckers, Stephanie; Tapia, Juan; Gonzalez, Sebastian; Fang, Meiling; Damer, Naser; Boutros, Fadi; Kuijper, Arjan; Sharma, Renu; Chen, Cunjian; Ross, Arun</t>
  </si>
  <si>
    <t>Iris Liveness Detection Competition (LivDet-Iris) - The 2020 Edition</t>
  </si>
  <si>
    <t>IEEE/IAPR INTERNATIONAL JOINT CONFERENCE ON BIOMETRICS (IJCB 2020)</t>
  </si>
  <si>
    <t>IEEE/IAPR International Joint Conference on Biometrics (IJCB)</t>
  </si>
  <si>
    <t>SEP 28-OCT 01, 2020</t>
  </si>
  <si>
    <t>IEEE,IAPR,IEEE Biometr Council,Google,Qualcomm,NSF</t>
  </si>
  <si>
    <t>Launched in 2013, LivDet-Iris is an international competition series open to academia and industry with the aim to assess and report advances in iris Presentation Attack Detection (PAD). This paper presents results from the fourth competition of the series: LivDet-Iris 2020. This year's competition introduced several novel elements: (a) incorporated new types of attacks (samples displayed on a screen, cadaver eyes and prosthetic eyes), (b) initiated LivDet-Iris as an on-going effort, with a testing protocol available now to everyone via the Biometrics Evaluation and Testing (BEAT)* open-source platform to facilitate reproducibility and benchmarking of new algorithms continuously, and (c) performance comparison of the submitted entries with three baseline methods (offered by the University of Notre Dame and Michigan State University), and three open-source iris PAD methods available in the public domain. The best performing entry to the competition reported a weighted average APCER of 59.10% and a BPCER of 0.46% over all five attack types. This paper serves as the latest evaluation of iris PAD on a large spectrum of presentation attack instruments.</t>
  </si>
  <si>
    <t>González, Sebastián/R-8780-2016; Fang, Zhaoyuan/ABD-1543-2020; Chen, Cunjian/ABD-7808-2021; Tapia, Juan/KVZ-0330-2024; Purnapatra, Sandip/JXM-6230-2024; Jang, Ganghee/MVX-9057-2025; Trokielewicz, Mateusz/AAC-2728-2020; Fang, Meiling/IQS-5428-2023; Schuckers, Stephanie/F-6197-2017; Das, Priyanka/GYU-5874-2022</t>
  </si>
  <si>
    <t>Schuckers, Stephanie/0000-0002-9365-9642; Chen, Cunjian/0000-0002-2926-9762; Purnapatra, Sandip/0009-0004-0464-3481; Tapia, Juan/0000-0001-9159-4075; Das, Priyanka/0000-0003-1932-5326</t>
  </si>
  <si>
    <t>978-1-7281-9186-7</t>
  </si>
  <si>
    <t>10.1109/ijcb48548.2020.9304941</t>
  </si>
  <si>
    <t>WOS:000723870900085</t>
  </si>
  <si>
    <t>Timonen, H; Karjalainen, P; Aalto, P; Saarikoski, S; Mylläri, F; Karvosenoja, N; Jalava, P; Asmi, E; Aakko-Saksa, P; Saukkonen, N; Laine, T; Saarnio, K; Niemelä, N; Enroth, J; Väkevä, M; Oyola, P; Pagels, J; Ntziachristos, L; Cordero, R; Kuittinen, N; Niemi, JV; Rönkkö, T</t>
  </si>
  <si>
    <t>Timonen, Hilkka; Karjalainen, Panu; Aalto, Pami; Saarikoski, Sanna; Myllari, Fanni; Karvosenoja, Niko; Jalava, Pasi; Asmi, Eija; Aakko-Saksa, Paivi; Saukkonen, Natalia; Laine, Teemu; Saarnio, Karri; Niemela, Niko; Enroth, Joonas; Vakeva, Minna; Oyola, Pedro; Pagels, Joakim; Ntziachristos, Leonidas; Cordero, Raul; Kuittinen, Niina; Niemi, Jarkko V.; Ronkko, Topi</t>
  </si>
  <si>
    <t>Adaptation of Black Carbon Footprint Concept Would Accelerate Mitigation of Global Warming</t>
  </si>
  <si>
    <t>ENVIRONMENTAL SCIENCE &amp; TECHNOLOGY</t>
  </si>
  <si>
    <t>Cordero, Raul/M-7979-2017; Timonen, Hilkka/M-8141-2014; Saarikoski, Sanna/M-9529-2019; Karjalainen, Panu/AAZ-1647-2020; Saukkonen, Natalia/O-5827-2016; Ntziachristos, Leonidas/C-6999-2008; Laine, Teemu/E-3615-2016; Saarnio, Karri/J-3888-2014; Karjalainen, Panu/B-9585-2015; Aakko-Saksa, Paivi/F-4213-2018</t>
  </si>
  <si>
    <t>Aalto, Pami/0000-0003-1559-8175; Asmi, Eija/0000-0002-9226-2360; Niemela, Niko P./0000-0002-9514-0916; Laine, Teemu/0000-0002-4150-7583; Cordero, Raul R./0000-0001-7607-7993; Kuittinen, Niina/0000-0002-8423-8934; Karvosenoja, Niko/0000-0002-0603-7571; Ronkko, Topi/0000-0002-1555-3367; Saarnio, Karri/0000-0002-3819-7916; Karjalainen, Panu/0000-0003-2824-0033; Niemi, Jarkko/0000-0001-8914-9853; Aakko-Saksa, Paivi/0000-0003-2995-0889</t>
  </si>
  <si>
    <t>0013-936X</t>
  </si>
  <si>
    <t>1520-5851</t>
  </si>
  <si>
    <t>10.1021/acs.est.9b05586</t>
  </si>
  <si>
    <t>WOS:000495467500002</t>
  </si>
  <si>
    <t>Parra-Soto, S; Poblete-Valderrama, F; Lamana, RZ; Cigarroa, I; Iturra, J; Cenzano-Castillo, L; Vásquez, J; Garrido-Méndez, A; Celis-Morales, C; Rivera, CF; Monterrosa, A</t>
  </si>
  <si>
    <t>Parra-Soto, Solange; Poblete-Valderrama, Felipe; Lamana, Rafael Zapata; Cigarroa, Igor; Iturra, Jose; Cenzano-Castillo, Lizette; Vasquez, Jaime; Garrido-Mendez, Alex; Celis-Morales, Carlos; Rivera, Carol Flores; Monterrosa, Armando</t>
  </si>
  <si>
    <t>Relationship between anthropometric characteristics, self-perception of body mass index, physical condition and eating habits in university health and education students</t>
  </si>
  <si>
    <t>Introduction: The university stage is a period of modification in lifestyles. Pedagogy and health career students, addi-tionally, will assume the role of guides and models regarding healthy behaviours towards their students and patients, respectively. Objective: To evaluate the relationship between anthropometric characteristics, self-perception of body mass index (BMI), physical condition and eating habits among pedagogy and health career university students. Mate-rials and method: Descriptive and correlational study. The sample consisted of 158 university students (age 22.5 +/- 2.5 years). Anthropometric characteristics, self-perception of BMI, physical condition and eating habits were evaluated. Results: BMI was positively correlated with perceived BMI (r= 0.46, p= 0.012). Waist circumference was positively correlated with perceived BMI and handgrip strength. The percentage of body fat was positively correlated with the perceived BMI and negatively with the physical condition (power, handgrip and flexibility). Arm muscle area was correlated with perceived BMI, perceived BMI score, and physical condition. Eating habits were negatively correlated with perceived BMI but not with anthropometric characteristics. Conclusion: University students from health and education careers with better anthropometric characteristics (lower BMI, waist circumference and fat percentage, and greater muscle area of the arm), have a higher self-perception of BMI and better performance in fitness tests physical.</t>
  </si>
  <si>
    <t>Garrido, Alex/IAP-5408-2023; Vásquez-Gómez, Jaime/AAJ-4316-2020; Flores Rivera, Carol/HZJ-6641-2023; Parra-Soto, Solange/HIK-1279-2022; cigarroa, igor/AAV-3527-2020; Monterrosa Quintero, Armando/JRW-2290-2023</t>
  </si>
  <si>
    <t>Iturra Gonzalez, Jose Alejandro/0000-0002-5419-0757; Flores Rivera, Carol Rosario/0000-0001-8888-6819; Monterrosa Quintero, Armando/0000-0002-7150-4834; Parra-Soto, Solange/0000-0002-8443-7327</t>
  </si>
  <si>
    <t>10.4067/S0717-75182023000100020</t>
  </si>
  <si>
    <t>WOS:000975450600002</t>
  </si>
  <si>
    <t>Geraudie, A; Rivera, MD; Montembeault, M; García, AM</t>
  </si>
  <si>
    <t>Geraudie, Amandine; Rivera, Mariano Diaz; Montembeault, Maxime; Garcia, Adolfo M.</t>
  </si>
  <si>
    <t>Language in Behavioral Variant Frontotemporal Dementia: Another Stone to Be Turned in Latin America</t>
  </si>
  <si>
    <t>FRONTIERS IN NEUROLOGY</t>
  </si>
  <si>
    <t>Beyond canonical deficits in social cognition and interpersonal conduct, behavioral variant frontotemporal dementia (bvFTD) involves language difficulties in a substantial proportion of cases. However, since most evidence comes from high-income countries, the scope and relevance of language deficits in Latin American bvFTD samples remain poorly understood. As a first step toward reversing this scenario, we review studies reporting language measures in Latin American bvFTD cohorts relative to other groups. We identified 24 papers meeting systematic criteria, mainly targeting phonemic and semantic fluency, naming, semantic processing, and comprehension skills. The evidence shows widespread impairments in these domains, often related to overall cognitive disturbances. Some of these deficits may be as severe as in other diseases where they are more widely acknowledged, such as Alzheimer's disease. Considering the prevalence and informativeness of language deficits in bvFTD patients from other world regions, the need arises for more systematic research in Latin America, ideally spanning multiple domains, in diverse languages and dialects, with validated batteries. We outline key challenges and pathways of progress in this direction, laying the ground for a new regional research agenda on the disorder.</t>
  </si>
  <si>
    <t>Montembeault, Maxime/U-6604-2019; Geraudie, Amandine/JCO-2749-2023; García, Adolfo/E-7150-2017</t>
  </si>
  <si>
    <t>1664-2295</t>
  </si>
  <si>
    <t>10.3389/fneur.2021.702770</t>
  </si>
  <si>
    <t>WOS:000685030600002</t>
  </si>
  <si>
    <t>Ramirez-Campillo, R; Sanchez-Sanchez, J; Romero-Moraleda, B; Yanci, J; Garcia-Hermoso, A; Clemente, FM</t>
  </si>
  <si>
    <t>Ramirez-Campillo, Rodrigo; Sanchez-Sanchez, Javier; Romero-Moraleda, Blanca; Yanci, Javier; Garcia-Hermoso, Antonio; Manuel Clemente, Filipe</t>
  </si>
  <si>
    <t>Effects of plyometric jump training in female soccer player's vertical jump height: A systematic review with meta-analysis</t>
  </si>
  <si>
    <t>JOURNAL OF SPORTS SCIENCES</t>
  </si>
  <si>
    <t>To assess the effects of plyometric jump training (PJT) in female soccer player's vertical jump height, a review was conducted using the data sources PubMed, MEDLINE, Web Of Science and SCOPUS. Only peer-review articles were included. To qualify for inclusion in the meta-analysis, studies must have included (i) a PJT programme of at least 2 weeks, (ii) cohorts of healthy female soccer players with no restriction for age, (iii) a control group, (iv) a measure of countermovement jump (CMJ). The inverse variance random-effects model for meta-analyses was used. From 7,136 records initially identified through database searching, 8 were eligible for meta-analysis, comprising 9 training groups (n = 99) and 9 control groups (n = 94). The magnitude of the main effect wasmoderate(ES = 1.01 [95%CI = 0.36-1.66],Z= 3.04,p= 0.002). Sub-group analyses were performed (i.e., PJT frequency, duration and total number of sessions), revealing no significant subgroup differences (p = 0.34-0.96). Among the studies included in this review, none reported injury or other adverse effects. In conclusion, PJT is effective in female soccer players for the improvement of vertical jump height. In future, research must identify specific dose-response relationships following PJT, particularly in the long term.</t>
  </si>
  <si>
    <t>Romero, Blanca/AFQ-8071-2022; IRIGOYEN, JAVIER/L-4346-2019; Ramirez-Campillo, Rodrigo/M-1258-2016; García-Hermoso, Antonio/ADU-2591-2022; Clemente, Filipe Manuel/G-2625-2012; Sanchez-Sanchez, Javier/N-1712-2016; Garcia-Hermoso, Antonio/P-1857-2017</t>
  </si>
  <si>
    <t>ROMERO-MORALEDA, BLANCA/0000-0001-8194-5775; YANCI IRIGOYEN, JAVIER/0000-0002-8965-5024; Clemente, Filipe Manuel/0000-0001-9813-2842; Sanchez-Sanchez, Javier/0000-0003-4585-247X; Garcia-Hermoso, Antonio/0000-0002-1397-7182; Ramirez-Campillo, Rodrigo/0000-0003-2035-3279</t>
  </si>
  <si>
    <t>0264-0414</t>
  </si>
  <si>
    <t>1466-447X</t>
  </si>
  <si>
    <t>JUL 2</t>
  </si>
  <si>
    <t>10.1080/02640414.2020.1745503</t>
  </si>
  <si>
    <t>WOS:000556039700001</t>
  </si>
  <si>
    <t>Mallol, J; García-Marcos, L; Aguirre, V; Martinez-Torres, A; Perez-Fernánez, V; Gallardo, A; Calvo, M; Rosario, N; Rocha, W; Fischer, G; Baeza-Bacab, M; Chiarella, P; Pinto, R; Barria, C</t>
  </si>
  <si>
    <t>Mallol, Javier; Garcia-Marcos, Luis; Aguirre, Viviana; Martinez-Torres, Antonela; Perez-Fernanez, Virginia; Gallardo, Alejandro; Calvo, Mario; Rosario Filho, Nelson; Rocha, Wilson; Fischer, Gilberto; Baeza-Bacab, Manuel; Chiarella, Pascual; Pinto, Rosario; Barria, Claudio</t>
  </si>
  <si>
    <t>The international study of wheezing in infants:: Questionnaire validation</t>
  </si>
  <si>
    <t>INTERNATIONAL ARCHIVES OF ALLERGY AND IMMUNOLOGY</t>
  </si>
  <si>
    <t>Background: There are no internationally validated questionnaires to investigate the prevalence of infant wheezing. This study was undertaken to validate a questionnaire for the International Study on the Prevalence of Wheezing in Infants (Estudio Internacional de Sibilancias en Lactantes, EISL). Material and Methods: Construct and criterion validity were tested for the question 'Has your baby had wheezing or whistling in the chest during his/her first 12 months of life?'. Construct validity (i.e. the ability of parents and doctors to refer to the same symptoms with the same words) was tested in a sample of 50 wheezing and 50 non-wheezy infants 12-15 months of age in each of 10 centres from 6 different Spanish- or Portuguese-speaking countries. Criterion validity (i.e. the ability of parents to correctly detect the symptom in the general population) was evaluated in 2 samples ( Santiago, Chile and Cartagena, Spain) of 50 wheezing and 50 non-wheezing infants ( according to parents) of the same age, randomly selected from the general population, who were later blindly diagnosed by a paediatric pulmonologist. Results: Construct validity was very high (kappa test: 0.98-1) in all centres. According to Youden's index, criterion validity was good both in Cartagena (75.5%) and in Santiago (67.0%). Adding questions about asthma medication did not improve diagnosis accuracy. Conclusions: The EISL questionnaire significantly distinguished wheezy infants from healthy ones. This questionnaire has a strong validity and can be employed in large international multicentre studies on wheezing during infancy. Copyright (c) 2007 S. Karger AG, Basel.</t>
  </si>
  <si>
    <t>Perez-Fernandez, Virginia/AAA-5690-2019; Rosario Filho, Nelson/HSE-9522-2023</t>
  </si>
  <si>
    <t>Perez-Fernandez, Virginia/0000-0003-1877-3055; Chiarella, Pascual/0000-0001-7644-7237; Garcia-Marcos, Luis/0000-0002-0925-3851; Mallol, Javier/0000-0003-2528-8672</t>
  </si>
  <si>
    <t>1018-2438</t>
  </si>
  <si>
    <t>10.1159/000102613</t>
  </si>
  <si>
    <t>WOS:000248807700006</t>
  </si>
  <si>
    <t>Fuentes, R; Nilson, E; Rezende, LFM; Christofaro, DGD; Silva, DR; Ferrero-Hernández, P; Cristi-Montero, C; Marques, A; Farías-Valenzuela, C; Ferrari, G</t>
  </si>
  <si>
    <t>Fuentes, Rodrigo; Nilson, Eduardo; Rezende, Leandro F. M.; Christofaro, Diego Giulliano Destro; Silva, Danilo R. R.; Ferrero-Hernandez, Paloma; Cristi-Montero, Carlos; Marques, Adilson; Farias-Valenzuela, Claudio; Ferrari, Gerson</t>
  </si>
  <si>
    <t>Future burden of non-communicable diseases attributable to overweight in Chile: a multistate life table modeling study</t>
  </si>
  <si>
    <t>BackgroundPrevious studies have quantified the current burden of diseases attributable to overweight in Chile. However, no study has estimated the attributable burden of overweight in the future. Herein, we estimated the potential impact of different trajectories in the prevalence of overweight on the incidence and mortality from non-communicable diseases (NCDs) in Chilean adults from 2019 to 2030.MethodsA multistate life table modelling was used to estimate the business-as-usual (BAU: if the current rate of increase in BMI persist through the next 11 years; i.e., 0.4% per year from 2003 to 2017) and three counterfactual scenarios (1: the increase rate of overweight is reduced by half; 2: maintanance of the current prevalence of overweight; 3: the prevalence of overweight is reduced by 6.7%) over a 11-year simulation period for burden of NCDs attributable to overweight in Chilean adults aged 20 to 80 years. The model inputs included nationally representative data of body mass index, national official demographic records, NCDs from the Global Burden of Disease study in 2019, and relative risks from a published meta-analysis.ResultsIf the current trends of increase in overweight are maintained in Chile, approximately, 669 thousand cases and 117 thousand deaths from NCDs will occur from 2020 to 2030. In case the increase rate of overweight is reduced by half during this period, around 7 thousand cases and 1.4 thousand deaths from NCDs would be prevented, while achieving no increase in the prevalence of overweight would avert 10 thousand cases and 2 thousand deaths. In the optimistic scenario of reducing the prevalence of overweight by 6.7% until 2030, approximately 25 thousand cases and 5 thousand deaths from NCDs would be prevented.ConclusionWe estimated that the number of NCDs cases and deaths that could be avoided by decreasing the prevalence of overweight in Chilean adults. Preventive programs aimed to reduce overweight may have a high impact on the future burden of NCDs in Chile.</t>
  </si>
  <si>
    <t>Rezende, Leandro/C-1724-2012; Nilson, Eduardo/AAW-5074-2021; Ferrari, Gerson/HHM-6173-2022; Cristi-Montero, Carlos/AAE-4945-2020; Christofaro, Diego/C-3312-2014; Ferrari, Gerson/P-1152-2014; Silva, Danilo/E-3747-2018; Marques, Adilson/K-4529-2014</t>
  </si>
  <si>
    <t>Ferrari, Gerson/0000-0003-3177-6576; Silva, Danilo/0000-0003-3995-4795; Marques, Adilson/0000-0001-9850-7771</t>
  </si>
  <si>
    <t>JUL 12</t>
  </si>
  <si>
    <t>10.1186/s12889-023-16255-w</t>
  </si>
  <si>
    <t>WOS:001027113700007</t>
  </si>
  <si>
    <t>Echeverría, C; Martin, A; Simon, F; Salas, CO; Nazal, M; Varela, D; Pérez-Castro, RA; Santibanez, JF; Valdés-Valdés, RO; Forero-Doria, O; Echeverría, J</t>
  </si>
  <si>
    <t>Echeverria, Cesar; Martin, Aldo; Simon, Felipe; Salas, Cristian O.; Nazal, Mariajesus; Varela, Diego; Perez-Castro, Ramon A.; Santibanez, Juan F.; Valdes-Valdes, Ricardo O.; Forero-Doria, Oscar; Echeverria, Javier</t>
  </si>
  <si>
    <t>In Vivo and in vitro antitumor activity of tomatine in hepatocellular carcinoma</t>
  </si>
  <si>
    <t>Background: There is abundant ethnopharmacological evidence the uses of regarding Solanum species as antitumor and anticancer agents. Glycoalkaloids are among the molecules with antiproliferative activity reported in these species. Purpose: To evaluate the anticancer effect of the Solanum glycoalkaloid tomatine in hepatocellular carcinoma (HCC) in vitro (HepG2 cells) and in vivo models. Methods: The resazurin reduction assay was performed to detect the effect of tomatine on cell viability in human HepG2 cell lines. Programmed cell death was investigated by means of cellular apoptosis assays using Annexin V. The expression of cancer related proteins was detected by Western blotting (WB). Reactive oxygen species (ROS) and calcium were determined by 2,7-dichlorodihydrofluorescein diacetate and Fluo-4, respectively. Intrahepatic HepG2 xenograft mouse model was used to elucidate the effect of tomatine on tumor growth in vivo. Results and Discussion: Tomatine reduced HepG2 cell viability and induced the early apoptosis phase of cell death, consistently with caspase-3, -7, Bcl-2 family, and P53 proteins activation. Furthermore, tomatine increased intracellular ROS and cytosolic Ca+2 levels. Moreover, the NSG mouse xenograft model showed that treating mice with tomatine inhibited HepG2 tumor growth. Conclusion: Tomatine inhibits in vitro and in vivo HCC tumorigenesis in part via modulation of p53, Ca+2, and ROS signalling. Thus, the results suggest the potential cancer therapeutic use of tomatine in HCC patients.</t>
  </si>
  <si>
    <t>Salas, Cristian/IZE-2326-2023; Santibanez, Juan/K-7071-2016; forero doria, oscar/ABF-8164-2020; ECHEVERRIA, CESAR/AAH-4994-2019; Echeverría, Javier/E-9989-2011; Varela, Diego/AAG-7489-2019</t>
  </si>
  <si>
    <t>Echeverria, Javier/0000-0002-1688-968X; ECHEVERRIA ECHEVERRIA, CESAR ANTONIO/0000-0001-5431-7183; Salas, Cristian/0000-0001-7620-2459; Perez-Castro, Ramon/0000-0003-3943-6269; Varela, Diego/0000-0002-9352-414X</t>
  </si>
  <si>
    <t>SEP 9</t>
  </si>
  <si>
    <t>10.3389/fphar.2022.1003264</t>
  </si>
  <si>
    <t>WOS:000859220700001</t>
  </si>
  <si>
    <t>Farías-Valenzuela, C; Ferrero-Hernández, P; Ferrari, G; Cofre-Bolados, C; Espoz-Lazo, S; Alvarez-Arangua, S; Marques, A; Valdivia-Moral, P</t>
  </si>
  <si>
    <t>Farias-Valenzuela, Claudio; Ferrero-Hernandez, Paloma; Ferrari, Gerson; Cofre-Bolados, Cristian; Espoz-Lazo, Sebastian; Alvarez-Arangua, Sebastian; Marques, Adilson; Valdivia-Moral, Pedro</t>
  </si>
  <si>
    <t>Effects of Multicomponent Physical Exercise Programs on Physical Fitness in People with Intellectual Disabilities: A Systematic Review</t>
  </si>
  <si>
    <t>People with intellectual disabilities (ID) have high rates of overweight and obesity, heart and metabolic diseases, and low motor development. These factors compromise functional independence and autonomy in activities of daily living. The objective of this study was to clarify the design and implementation of multicomponent physical exercise programs (MPEPs) and evaluate their effects on physical fitness in people with ID. A search for scientific articles in English published before 2022 was conducted using Web of Science, PubMed, Scopus, and Science Direct databases. Scientific papers describing the effects of MPEPs on physical fitness in people with ID were considered. A total of 374 articles involving people with ID were included. Positive physical fitness outcomes were found in interventions with MPEPs in its morphological components and to a lesser extent in the motor, muscular, metabolic, and cardiorespiratory aspects in people with ID. Further research is needed to standardize and elucidate the effects of the MPEP on other functional dimensions of physical fitness to use them as a physical activity alternative to reduce sedentary behavior in people with ID.</t>
  </si>
  <si>
    <t>Ferrari, Gerson/HHM-6173-2022; Arangua, Sebastian/AAQ-3480-2021; Espoz-Lazo, Sebastian/AAV-2358-2020; Valdivia-Moral, Pedro/J-7490-2013; Ferrari, Gerson/P-1152-2014; Marques, Adilson/K-4529-2014</t>
  </si>
  <si>
    <t>Ferrero Hernandez, Paloma Andrea/0000-0002-0172-660X; Valdivia-Moral, Pedro/0000-0002-1905-3247; Ferrari, Gerson/0000-0003-3177-6576; Espoz-Lazo, Sebastian/0000-0002-8513-4977; Farias Valenzuela, Claudio/0000-0002-4027-4415; Marques, Adilson/0000-0001-9850-7771; Alvarez Arangua, Sebastian/0000-0002-1930-5512</t>
  </si>
  <si>
    <t>10.3390/su142416728</t>
  </si>
  <si>
    <t>WOS:000902873100001</t>
  </si>
  <si>
    <t>Chalapathi, U; Hemalatha, C; Alhammadi, S; Dhanalakshmi, R; Reddy, GS; Divya, A; Gonuguntla, V; Sangaraju, S; Ghfar, AA; Rosaiah, P; Suh, Y; Park, SH</t>
  </si>
  <si>
    <t>Chalapathi, U.; Hemalatha, Ch.; Alhammadi, Salh; Dhanalakshmi, Radhalayam; Reddy, Golkonda Srinivas; Divya, Athipalli; Gonuguntla, Venkateswarlu; Sangaraju, Sambasivam; Ghfar, Ayman A.; Rosaiah, P.; Suh, Youngsuk; Park, Si-Hyun</t>
  </si>
  <si>
    <t>Impact of stacking sequence and sulfurization duration on the growth of pyrargyrite Ag3SbS3 absorber layers</t>
  </si>
  <si>
    <t>Pyrargyrite Ag3SbS3 is a promising absorber for thin-film solar cells. In this study, the impact of precursor stacking sequence and sulfurization duration on the growth and properties of Ag3SbS3 films was investigated. Initially, the Ag3SbS3 films produced by depositing Sb/Ag and Ag/Sb/Ag metal stacks and then sulfurizing 300 degrees C crystallized in rhombohedral structure with (113) preferred orientation. The film produced from Sb/Ag stack had a uniform and large-grained morphology up to a thickness of 1150 nm, and a direct bandgap of 1.65 eV; whereas the film prepared with the Ag/Sb/Ag stack exhibited nonuniform grain morphology with decreased film thickness, and increased bandgap energy (1.70 eV). Secondly, the Ag3SbS3 films produced from the Sb/Ag stack by increasing sulfurization duration from 10 to 90 min increases the crystallite size from to 27 nm, enhances the grain compactness and uniformity, varies the bandgap in the range of 1.65-1.69 and electrical resistivity. The solar cells fabricated using the films produced by sulfurizing the Sb/Ag stack 30 min duration exhibited a maximum power conversion efficiency of 0.52% with an VOC of 471.6 mV, J of 2.0 mA/cm2, and FF of 55.0%. This study offers a pathway for the advancement of Ag3SbS3 thin-film solar cells.</t>
  </si>
  <si>
    <t>Alhammadi, Salh/ABZ-2324-2022; Sangaraju, Sambasivam/Z-5686-2019; Gonuguntla, Venkateswarlu/AAH-5239-2021; Anil Kumar, Yedluri/AAM-1537-2021; Reddy, Golkonda/D-2122-2018</t>
  </si>
  <si>
    <t>, Dr.ATHIPALLI DIVYA/0000-0002-0483-9167; Alhammadi, Salh/0000-0001-9546-0429</t>
  </si>
  <si>
    <t>10.1016/j.jssc.2024.124832</t>
  </si>
  <si>
    <t>WOS:001362867800001</t>
  </si>
  <si>
    <t>Castillo-Aguilar, M; Valdés-Badilla, P; Herrera-Valenzuela, T; Guzmán-Muñoz, E; Delgado-Floody, P; Andrade, DC; Moraes, MM; Arantes, RME; Núñez-Espinosa, C</t>
  </si>
  <si>
    <t>Castillo-Aguilar, Matias; Valdes-Badilla, Pablo; Herrera-Valenzuela, Tomas; Guzman-Munoz, Eduardo; Delgado-Floody, Pedro; Cristobal Andrade, David; Moraes, Michele M.; Arantes, Rosa M. E.; Nunez-Espinosa, Cristian</t>
  </si>
  <si>
    <t>Cardiac Autonomic Modulation in Response to Muscle Fatigue and Sex Differences During Consecutive Competition Periods in Young Swimmers: A Longitudinal Study</t>
  </si>
  <si>
    <t>Objective: To study the differences in cardiac autonomic modulation in response to muscle fatigue caused by high-intensity exercise during two consecutive competition periods in young swimmers. Methods: Twenty-six competitive swimmers, selected by their training volume, were separated in two groups, females (n = 12 [46%], age: 13.5 +/- 1.4 years) and males (n = 14 [54%], age: 13.9 +/- 1.7 years), aged between 10 and 16 years, were evaluated five times as follow: (i) 21 days before the first competition (t-0); (ii) two days before (t-1; t-3); and (iii) two days after (t-2; t-4) of the first and second competitions. Morphological measurements (body mass, percentage of total body fat and height), blood pressure, power, and resting heart rate variability (RR with Polar band) were recorded before and after Wingate test at each time. Results: Body fat was higher in females compared to males. However, no differences were found in other morphological parameters. An intra-subject analysis grouped by sex in cardiovascular parameters shows longitudinal variations in systolic pressure and mean pressure among females. Additionally, females depicted higher, very low frequency (VLF, which is intrinsically generated by the heart and strongly associated with emotional stress) after physical fatigue compared to males at t-1. Further, before the competition, the high frequency (HF) component of HRV (parasympathetic drive) was higher in males than females at t-0 and t-4. Conclusion: Our data revealed that males displayed greater parasympathetic reactivity after an anaerobic muscle fatigue test during their competition periods. Contrarily, females had a less cardiac autonomic modulation when comparing the pre-post Wingate test after two consecutive competition periods.</t>
  </si>
  <si>
    <t>Castillo-Aguilar, Matías/LDZ-5546-2024; MORAES, MICHELE/W-4042-2019; Herrera-Valenzuela, Tomas/L-1819-2019; Arantes, Rosa/C-5749-2013; Andrade, David/S-5896-2019; Núñez-Espinosa, Cristian/ADF-6181-2022</t>
  </si>
  <si>
    <t>Nunez Espinosa, Cristian Andres/0000-0002-9896-7062; Guzman-Munoz, Eduardo/0000-0001-7001-9004; Valdes-Badilla, Pablo/0000-0002-3948-8280; Andrade, David Cristobal/0000-0003-2006-1444; Castillo Aguilar, Matias/0000-0001-7291-247X</t>
  </si>
  <si>
    <t>10.3389/fphys.2021.769085</t>
  </si>
  <si>
    <t>WOS:000881403700001</t>
  </si>
  <si>
    <t>Werneck, AO; Sadarangani, KP; Ramírez-Vélez, R; Baldew, SS; Gomes, TN; Ferrari, G; Szwarcwald, CL; Miranda, JJ; Silva, DR</t>
  </si>
  <si>
    <t>Werneck, Andre O.; Sadarangani, Kabir P.; Ramirez-Velez, Robinson; Baldew, Se-Sergio; Gomes, Thayse N.; Ferrari, Gerson; Szwarcwald, Celia L.; Miranda, J. Jaime; Silva, Danilo R.</t>
  </si>
  <si>
    <t>South Amer Physical</t>
  </si>
  <si>
    <t>Macroeconomic, demographic and human developmental correlates of physical activity and sitting time among South American adults</t>
  </si>
  <si>
    <t>INTERNATIONAL JOURNAL OF BEHAVIORAL NUTRITION AND PHYSICAL ACTIVITY</t>
  </si>
  <si>
    <t>Background Our aim was to investigate the association of macroeconomic, human development, and demographic factors with different domains of physical activity and sitting time among South American adults. Methods We used data from nationally representative samples in Argentina (n = 26,932), Brazil (n = 52,490), Chile (n = 3866), Colombia (n = 14,208), Ecuador (n = 19,883), Peru (n = 8820), and Uruguay (n = 2403). Our outcomes included leisure time (&gt;= 150 min/week), transport (&gt;= 10 min/week), occupational (&gt;= 10 min/week), and total (&gt;= 150 min/week) physical activity, as well as sitting time (&gt;= 4 h/day), which were collected through self-reported questionnaires. As exposures, gross domestic product, total population, population density, and human development index indicators from the most updated national census of each country were used. Age and education were used as covariates. Multilevel logistic regressions with harmonized random effect meta-analyses were conducted, comparing highest vs. lowest (reference) tertiles. Results Higher odds for transport physical activity were observed among the highest tertiles of total population (ORmen: 1.41; 95% CI: 1.23-1.62), ORwomen: 1.51; 95% CI:1.32-1.73), population density (ORmen: 1.36; 95% CI: 1.18-1.57, ORwomen: 1.49; 95% CI: 1.30-1.70), and gross domestic product (ORmen: 1.16; 95% CI: 1.00-1.35, ORwomen: 1.39; 95% CI: 1.20-1.61). For leisure physical activity, women living in departments with higher human development index presented 18% higher odds for being active, and for total physical activity a similar estimate in both sexes was observed among those who live in more populated areas. No consistent associations were found for occupational physical activity and sitting time. Conclusion Macroeconomic, demographic and human development indicators are associated with different domains of physical activity in the South American context, which can in turn guide policies to promote physical activity in the region.</t>
  </si>
  <si>
    <t>Miranda, J. Jaime/A-8482-2008; Gomes, Thayse Natacha/IZE-2339-2023; Ferrari, Gerson/ABG-6635-2021; Ferrari, Gerson/P-1152-2014; Ramirez-Velez, Robinson/D-5311-2016; Silva, Danilo/E-3747-2018; Werneck, Andre/N-5006-2016</t>
  </si>
  <si>
    <t>Ferrari, Gerson/0000-0003-3177-6576; Queiroz Ferreira Gomes, Thayse Natacha/0000-0003-4991-1238; Ramirez-Velez, Robinson/0000-0003-3075-6960; Silva, Danilo/0000-0003-3995-4795; Miranda, J. Jaime/0000-0002-4738-5468; Werneck, Andre/0000-0002-9166-4376; Baldew, Se-Sergio/0000-0003-0122-5570</t>
  </si>
  <si>
    <t>1479-5868</t>
  </si>
  <si>
    <t>10.1186/s12966-020-01068-6</t>
  </si>
  <si>
    <t>WOS:000598758500001</t>
  </si>
  <si>
    <t>Fitzpatrick, C; Bendek, MF; Briones, M; Farfán, N; Silva, VA; Nardocci, G; Montecino, M; Boland, A; Deleuze, JF; Villegas, J; Villota, C; Silva, V; Lobos-Gonzalez, L; Borgna, V; Barrey, E; Burzio, LO; Burzio, VA</t>
  </si>
  <si>
    <t>Fitzpatrick, Christopher; Bendek, Maximiliano F.; Briones, Macarena; Farfan, Nicole; Silva, Valeria A.; Nardocci, Gino; Montecino, Martin; Boland, Anne; Deleuze, Jean-Francois; Villegas, Jaime; Villota, Claudio; Silva, Veronica; Lobos-Gonzalez, Lorena; Borgna, Vincenzo; Barrey, Eric; Burzio, Luis O.; Burzio, Veronica A.</t>
  </si>
  <si>
    <t>Mitochondrial ncRNA targeting induces cell cycle arrest and tumor growth inhibition of MDA-MB-231 breast cancer cells through reduction of key cell cycle progression factors</t>
  </si>
  <si>
    <t>The family of long noncoding mitochondrial RNAs (ncmtRNAs), comprising sense (SncmtRNA), and antisense (ASncmtRNA-1 and ASncmtRNA-2) members, are differentially expressed according to cell proliferative status; SncmtRNA is expressed in all proliferating cells, while ASncmtRNAs are expressed in normal proliferating cells, but is downregulated in tumor cells. ASncmtRNA knockdown with an antisense oligonucleotide induces massive apoptosis in tumor cell lines, without affecting healthy cells. Apoptotic death is preceded by proliferation blockage, suggesting that these transcripts are involved in cell cycle regulation. Here, we show that ASncmtRNA knockdown induces cell death preceded by proliferative blockage in three different human breast cancer cell lines. This effect is mediated by downregulation of the key cell cycle progression factors cyclin B1, cyclin D1, CDK1, CDK4, and survivin, the latter also constituting an essential inhibitor of apoptosis, underlying additionally the onset of apoptosis. The treatment also induces an increase in the microRNA hsa-miR-4485-3p, whose sequence maps to ASncmtRNA-2 and transfection of MDA-MB-231 cells with a mimic of this miRNA induces cyclin B1 and D1 downregulation. Other miRNAs that are upregulated include nuclear-encoded hsa-miR-5096 and hsa-miR-3609, whose mimics downregulate CDK1. Our results suggest that ASncmtRNA targeting blocks tumor cell proliferation through reduction of essential cell cycle proteins, mediated by mitochondrial and nuclear miRNAs. This work adds to the elucidation of the molecular mechanisms behind cell cycle arrest preceding tumor cell apoptosis induced by ASncmtRNA knockdown. As proof-of-concept, we show that in vivo knockdown of ASncmtRNAs results in drastic inhibition of tumor growth in a xenograft model of MDA-MB-231 subcutaneous tumors, further supporting this approach for the development of new therapeutic strategies against breast cancer.</t>
  </si>
  <si>
    <t>Danion, François/Q-2764-2017; Nardocci, Gino/AAE-7793-2019; , Nicole Farfán/IYJ-9760-2023; Borgna, Vincenzo/AAZ-8414-2020; eb, equipe/KHY-0229-2024; Silva, Valeria/GQI-0004-2022; Villegas, Jaime/AAW-5938-2020; Burzio, Veronica/HTP-0034-2023; Fitzpatrick, Christopher/AAU-1679-2020</t>
  </si>
  <si>
    <t>Fitzpatrick, Christopher/0000-0002-5598-8111; Nardocci, Gino/0000-0002-2342-6480; Villota, Claudio/0000-0002-6233-8563; BARREY, Eric/0000-0001-7691-8705; Montecino, Martin/0000-0002-6025-0023; Silva Moeller, Valeria/0000-0003-4598-0973; Villegas, Jaime/0000-0002-9556-4655; Lobos-Gonzalez, Lorena/0000-0002-4957-9864</t>
  </si>
  <si>
    <t>MAY 29</t>
  </si>
  <si>
    <t>10.1038/s41419-019-1649-3</t>
  </si>
  <si>
    <t>WOS:000470936100005</t>
  </si>
  <si>
    <t>Aravena-Sagardia, P; Barramuño-Medina, M; Vásquez, BP; Pichinao, SP; Sepulveda, PR; Herrera-Valenzuela, T; Hernandez-Martinez, J; Levín-Catrilao, A; Villagrán-Silva, F; Vásquez-Carrasco, E; Branco, BHM; Sandoval, C; Valdés-Badilla, P</t>
  </si>
  <si>
    <t>Aravena-Sagardia, Pablo; Barramuno-Medina, Mauricio; Vasquez, Barbara Palma; Pichinao Pichinao, Sebastian; Sepulveda, Paula Rodriguez; Herrera-Valenzuela, Tomas; Hernandez-Martinez, Jordan; Levin-Catrilao, Alvaro; Villagran-Silva, Francisca; Vasquez-Carrasco, Edgar; Branco, Braulio Henrique Magnani; Sandoval, Cristian; Valdes-Badilla, Pablo</t>
  </si>
  <si>
    <t>Effects of a CrossFit Training Program on Body Composition and Physical Fitness in Novice and Advanced Practitioners: An Inter-Individual Analysis</t>
  </si>
  <si>
    <t>Background: CrossFit (R) has become a popular and effective training methodology. This study aimed to compare the effects of a four-week CrossFit training program and analyze the inter-individual variability on body composition (fat mass and fat-free mass) and physical fitness (push-ups, military press, back squat, deadlift, countermovement jump (CMJ), sit-ups, and 30 m sprint speed) in novice and advanced practitioners. Methods: A quasi-experimental design was used, with single-blinded (evaluators) and 2 parallel groups: novices (n = 10; age = 22.30 +/- 0.81) and advanced practitioners (n = 11; age = 22.80 +/- 1.41). The intervention consisted of 3 weekly 75 min sessions (4 weeks), with pre- and post-assessments. A two-factor mixed ANOVA and inter-individual analyses to classify responders (Rs) and non-responders (NRs) were performed. Results: No significant interaction effects were found. However, the novice group significantly improved back squat performance (p = 0.031). Inter-individual analysis showed higher proportions of Rs in the novice group for back squat (40%), deadlift (20%), military press (10%), CMJ (10%), sit-ups (30%), push-ups (30%), and 30 m sprint speed (10%) compared to the advanced group. Conclusions: CrossFit program did not significantly affect body composition, but novices exhibited significant back squat improvements. Considering experience levels can enhance training outcomes.</t>
  </si>
  <si>
    <t>Hernandez-Martinez, Jordan/AAK-5115-2020; Herrera-Valenzuela, Tomas/L-1819-2019; Branco, Braulio/AAA-1747-2019; Villagran, Francisca/KOD-2608-2024</t>
  </si>
  <si>
    <t>10.3390/app15073554</t>
  </si>
  <si>
    <t>WOS:001463717200001</t>
  </si>
  <si>
    <t>Gran, F; Kordopatis, G; Zoccali, M; Hill, V; Saviane, I; Navarrete, C; Rojas-Arriagada, A; Carballo-Bello, J; Hartke, J; Valenti, E; Ramos, RC; De Leo, M; Fabbro, S</t>
  </si>
  <si>
    <t>Gran, F.; Kordopatis, G.; Zoccali, M.; Hill, V.; Saviane, I.; Navarrete, C.; Rojas-Arriagada, A.; Carballo-Bello, J.; Hartke, J.; Valenti, E.; Contreras Ramos, R.; De Leo, M.; Fabbro, S.</t>
  </si>
  <si>
    <t>The treasure behind the haystack: MUSE analysis of five recently discovered globular clusters</t>
  </si>
  <si>
    <t>Context. After the second data release of Gaia, the number of new globular cluster candidates has increased significantly. However, most of them need to be properly characterised, both spectroscopically and photometrically, by means of radial velocities, metallicities, and deeper photometric observations. Aims. Our goal is to provide an independent confirmation of the cluster nature of Gran 4, a recently discovered globular cluster, with follow-up spectroscopic observations. The derived radial velocity for individual stars, coupled with proper motions, allows us to isolate cluster members from field stars, while the analysis of their spectra allows us to derive metallicities. By including in the analysis the recently confirmed clusters Gran 1, 2, 3, and 5, we aim to completely characterise recently discovered globular clusters. Methods. Using Gaia DR3 and VVV catalogue data and MUSE at VLT observations, we selected cluster members based on their proper motions, radial velocities and their position in colour-magnitude diagrams. Furthermore, full spectral synthesis was performed on the cluster members, extracting surface parameters and metallicity from MUSE spectra. Finally, a completeness estimation was performed on the total globular cluster population of the Milky Way. Results. We confirm the nature of Gran 4, a newly discovered globular cluster behind the Galactic bulge, with a mean radial velocity of RV = -265.28 +/- 3.92 km s(-1) and a mean metallicity of [Fe/H] = -1.72 +/- 0.32 dex. Additionally, independent measurements of the metallicities were derived for Gran 1, 2, 3, and 5. We also revise the observational lower mass limit for a globular cluster to survive in the bulge and disc environment. We estimate that similar to 12-26 globular clusters have still to be discovered on the other side of the Galaxy (i.e., behind the bulge, bar and disk), up to 20 kpc.</t>
  </si>
  <si>
    <t>Hill, Vanessa/JNS-9321-2023; Gran, Felipe/LLM-7798-2024; Navarrete, Camila/LJK-7033-2024; Saviane, Ivo/KXS-1664-2024; Carballo-Bello, Julio A./ABB-8495-2021; Ramos, Roberto/JFS-2543-2023</t>
  </si>
  <si>
    <t>Hartke, Johanna/0000-0002-8745-689X; Navarrete, Camila/0000-0002-4777-9934; Gran, Felipe/0000-0002-9252-6899; Saviane, Ivo/0000-0002-5878-5299; Zoccali, Manuela/0000-0002-5829-2267</t>
  </si>
  <si>
    <t>A167</t>
  </si>
  <si>
    <t>10.1051/0004-6361/202347915</t>
  </si>
  <si>
    <t>WOS:001185810900021</t>
  </si>
  <si>
    <t>Torres-Prioris, MJ; López-Barroso, D; Càmara, E; Fittipaldi, S; Sedeño, L; Ibáñez, A; Berthier, ML; García, AM</t>
  </si>
  <si>
    <t>Torres-Prioris, Maria Jose; Lopez-Barroso, Diana; Camara, Estela; Fittipaldi, Sol; Sedeno, Lucas; Ibanez, Agustin; Berthier, Marcelo L.; Garcia, Adolfo M.</t>
  </si>
  <si>
    <t>Neurocognitive signatures of phonemic sequencing in expert backward speakers</t>
  </si>
  <si>
    <t>Despite its prolific growth, neurolinguistic research on phonemic sequencing has largely neglected the study of individuals with highly developed skills in this domain. To bridge this gap, we report multidimensional signatures of two experts in backward speech, that is, the capacity to produce utterances by reversing the order of phonemes while retaining their identity. Our approach included behavioral assessments of backward and forward speech alongside neuroimaging measures of voxel-based morphometry, diffusion tensor imaging, and resting-state functional connectivity. Relative to controls, both backward speakers exhibited behavioral advantages for reversing words and sentences of varying complexity, irrespective of working memory skills. These patterns were accompanied by increased grey matter volume, higher mean diffusivity, and enhanced functional connectivity along dorsal and ventral stream regions mediating phonological and other linguistic operations, with complementary support of areas subserving associative-visual and domain-general processes. Still, the specific loci of these neural patterns differed between both subjects, suggesting individual variability in the correlates of expert backward speech. Taken together, our results offer new vistas on the domain of phonemic sequencing, while illuminating neuroplastic patterns underlying extraordinary language abilities.</t>
  </si>
  <si>
    <t>Torres-Prioris, María José/GRY-4494-2022; García, Adolfo/E-7150-2017; Ibanez, Agustin/H-7976-2015; Lopez-Barroso, Diana/AAH-6830-2019</t>
  </si>
  <si>
    <t>Ibanez, Agustin/0000-0001-6758-5101; Torres-Prioris, Maria Jose/0000-0003-3795-8151; Camara, Estela/0000-0002-3879-0496; Lopez-Barroso, Diana/0000-0002-8938-1959</t>
  </si>
  <si>
    <t>10.1038/s41598-020-67551-z</t>
  </si>
  <si>
    <t>WOS:000548353500021</t>
  </si>
  <si>
    <t>Hermosilla-Palma, F; Loro-Ferrer, JF; Merino-Muñoz, P; Gómez-Alvarez, N; Zacca, R; Cerda-Kohler, H; Brito, C; Pérez-Contreras, J; Portes, M Jr; Aedo-Muñoz, E</t>
  </si>
  <si>
    <t>Hermosilla-Palma, Felipe; Loro-Ferrer, Juan Francisco; Merino-Munoz, Pablo; Gomez-alvarez, Nicolas; Zacca, Rodrigo; Cerda-Kohler, Hugo; Brito, Ciro; Perez-Contreras, Jorge; Portes-Junior, Moacyr; Aedo-Munoz, Esteban</t>
  </si>
  <si>
    <t>Optimizing Muscle Performance in Young Soccer Players: Exploring the Impact of Resisted Sprint Training and Its Relationship with Distance Covered</t>
  </si>
  <si>
    <t>Background: Speed training with resisted sprints has been shown to positively affect neuromuscular performance in soccer players. Various loads, ranging from 10% to 120% of body mass, have demonstrated performance improvements across the spectrum. However, the impact of sprint distance with optimal load on these adaptive responses has yet to be thoroughly described. Objective. To analyze the influence of sprint distance in resisted sprints on muscle performance in young soccer players. Methods. This quantitative study utilized a pre-post experimental design. The sample consisted of 24 young soccer players (15.3 +/- 0.68 years; 61.4 +/- 7.08 kg; 1.60 +/- 0.06 m) randomized into three groups (10, 20, and 30 m) and subjected to 12 sessions of resisted sprint training over six weeks. The volume was homogenized across groups, with a total distance of 120 m for each. The intervention's effect was analyzed through performance in the isometric mid-thigh pull (IMTP), countermovement jump (CMJ), modified 505 agility test (505 m), and linear sprint tests. Differences were analyzed using a mixed ANOVA, incorporating a between-subjects factor (training group) and a within-subjects factor (pre- and post-intervention). Results. Time-dependent differences were observed in all groups for peak force (PF) (p &lt; 0.001; eta(2)p = 0.62), time to PF (TPF) (p &lt; 0.001; eta(2)p = 0.53), impulse at 50 (p &lt; 0.001; eta(2)p = 0.57), 100 (p &lt; 0.001; eta(2)p = 0.60), and 200 ms (p &lt; 0.001; eta(2)p = 0.67) in IMTP; jump height by impulse-momentum (p &lt; 0.001; eta(2)p = 0.64), rate of force development (p = 0.04; eta(2)p = 0.14), yielding impulse (p &lt; 0.001; eta(2)p = 0.49), and concentric impulse (p = 0.01; eta(2)p = 0.19) in CMJ; time (p &lt; 0.001; eta(2)p = 0.46) in 505 m; and average speed in linear sprint (p = 0.003; eta(2)p = 0.36), with moderate to large effect sizes, regardless of the distance covered. No differences were observed for the interaction between the time* and group or between groups. Conclusion. Performance improvements were independent of the sprint distance, with no differences between training groups. Distances between 10 and 30 m may enhance muscle performance in young soccer players.</t>
  </si>
  <si>
    <t>Brito, Ciro/AAC-9104-2019; Merino Muñoz, Pablo/JGL-6690-2023; Aedo-Muñoz, Esteban/R-5623-2019; Gómez-Álvarez, Nicolas/IQV-1742-2023; loro, juan/L-9319-2014; Zacca, Rodrigo/E-8151-2013</t>
  </si>
  <si>
    <t>loro, juan/0000-0002-0517-8209; Hermosilla-Palma, Felipe/0000-0001-8686-6793; Aedo-Munoz, Esteban/0000-0003-1544-2824; Merino-Munoz, Pablo/0000-0002-8323-726X; Cerda-Kohler, Hugo/0000-0002-4058-3242; Zacca, Rodrigo/0000-0003-0494-0000; Perez-Contreras, Jorge/0000-0002-2314-0204</t>
  </si>
  <si>
    <t>10.3390/sports13010026</t>
  </si>
  <si>
    <t>WOS:001406267100001</t>
  </si>
  <si>
    <t>Pena, TA; Villarreal, P; Agier, N; De Chiara, M; Barria, T; Urbina, K; Villarroel, CA; Santos, ARO; Rosa, CA; Nespolo, RF; Liti, G; Fischer, G; Cubillos, FA</t>
  </si>
  <si>
    <t>Pena, Tomas A.; Villarreal, Pablo; Agier, Nicolas; De Chiara, Matteo; Barria, Tomas; Urbina, Kamila; Villarroel, Carlos A.; Santos, Ana R. O.; Rosa, Carlos A.; Nespolo, Roberto F.; Liti, Gianni; Fischer, Gilles; Cubillos, Francisco A.</t>
  </si>
  <si>
    <t>An integrative taxonomy approach reveals Saccharomyces chiloensis sp. nov. as a newly discovered species from Coastal Patagonia</t>
  </si>
  <si>
    <t>PLOS GENETICS</t>
  </si>
  <si>
    <t>Species delineation in microorganisms is challenging due to the limited markers available for accurate species assignment. Here, we applied an integrative taxonomy approach, combining extensive sampling, whole-genome sequence-based classification, phenotypic profiling, and assessment of interspecific reproductive isolation. Our work reveals the presence of a distinct Saccharomyces lineage in Nothofagus forests of coastal Patagonia. This lineage, designated Saccharomyces chiloensis sp. nov., exhibits 7% genetic divergence from its sister species S. uvarum, as revealed by whole-genome sequencing and population analyses. The South America-C (SA-C) coastal Patagonia population forms a unique clade closely related to a previously described divergent S. uvarum population from Oceania (AUS, found in Australia and New Zealand). Our species reclassification is supported by a low Ortho Average Nucleotide Identity (OANI) of 93% in SA-C and AUS relative to S. uvarum, which falls below the suggested species delineation threshold of 95%, indicating an independent evolutionary lineage. Hybrid spore viability assessment provided compelling evidence that SA-C and AUS are reproductively isolated from S. uvarum. In addition, we found unique structural variants between S. chiloensis sp. nov. lineages, including large-scale chromosomal translocations and inversions, together with a distinct phenotypic profile, emphasizing their intraspecies genetic distinctiveness. We suggest that S. chiloensis sp. nov diverged from S. uvarum in allopatry due to glaciation, followed by post-glacial dispersal, resulting in distinct lineages on opposite sides of the Pacific Ocean. The discovery of S. chiloensis sp. nov. illustrates the uniqueness of Patagonia's coastal biodiversity and underscores the importance of adopting an integrative taxonomic approach in species delineation to unveil cryptic microbial species. The holotype of S. chiloensis sp. nov. is CBS 18620(T).</t>
  </si>
  <si>
    <t>Cubillos, Francisco/MIT-2389-2025; Santos, Ana/AAL-4004-2021; Nespolo, Roberto/D-5601-2015; Fischer, Gilles/G-6654-2016; Liti, Gianni/I-9929-2014</t>
  </si>
  <si>
    <t>Villarroel, Carlos/0000-0002-6089-3088; Pena, Tomas/0009-0003-3201-743X; Rosa, Carlos/0000-0002-0056-9075; De Chiara, Matteo/0000-0003-1014-350X; Villarreal, Pablo/0000-0002-2254-0417</t>
  </si>
  <si>
    <t>1553-7404</t>
  </si>
  <si>
    <t>e1011396</t>
  </si>
  <si>
    <t>10.1371/journal.pgen.1011396</t>
  </si>
  <si>
    <t>WOS:001308388700003</t>
  </si>
  <si>
    <t>Kappa-Distributed Electrons in Solar Outflows: Beam-Plasma Instabilities and Radio Emissions</t>
  </si>
  <si>
    <t>SOLAR PHYSICS</t>
  </si>
  <si>
    <t>Electrostatic (ES) wave instabilities are assumed to be at the origin of radio emissions from interplanetary shocks, and solar coronal sources are most likely induced by electron beams, more energetic but less dense than electron strahls in the solar wind. In this paper, we present the results of a new dispersion and stability analysis for electron populations with Kappa velocity distributions, as often indicated by in situ observations. We investigate, both theoretically and numerically, three electron plasma beam configurations with different implications in the generation of radio emissions. The same three cases, but for Maxwellian distributed electrons, were considered in numerical simulations by Thurgood and Tsiklauri (Astronomy and Astrophysics 584:A83, 2015). Our kinetic plasma approach clarifies the nature of the unstable mode as being an electron beam ES instability (and not a Langmuir instability) in all cases, and for both Kappa and Maxwellian approaches. Electron beam waves are Landau resonant and with frequencies of the fastest growing modes close to but below the plasma frequency (i.e., ? ? ?(pe)). Suprathermal Kappa tails tend to inhibit the instability by reducing the growth rates, but these effects become minor if the drift speed of the beam is sufficiently high compared to the thermal speed of the electrons. The frequency downshift, also revealed by the observations, clearly tends to increase in the presence of a Kappa-distributed beam. Particle-in-cell (PIC) simulations confirm the inhibiting effects of (initially) Kappa-distributed electrons, but these minor effects in the linear and quasi-linear phases unexpectedly lead to significant decreases in the wave energy levels of the (primary) ES fluctuations near the plasma frequency and higher harmonics. As a result, EM radio (secondary) emissions generated nonlinearly after saturation are even more drastically reduced and can even be completely suppressed. However, the EM emissions around the second harmonic (? ?2 ?(pe)) are markedly powered by two symmetric countermoving beams, even in the presence of Kappa electrons. These results offer real promise for a realistic interpretation and modeling of radio emissions observed in heliosphere, arguing in favor of a rigorous spectral analysis of the wave instabilities at their origin.</t>
  </si>
  <si>
    <t>Shaaban, Shaaban/O-4663-2019; Poedts, Stefaan/AAG-1995-2019; Lopez, Rodrigo/H-7576-2013; Lazar, Marian/U-7133-2019; Lazar, Marian/C-3264-2012; Poedts, Stefaan/C-9775-2012</t>
  </si>
  <si>
    <t>Lazar, Marian/0000-0002-8508-5466; Poedts, Stefaan/0000-0002-1743-0651</t>
  </si>
  <si>
    <t>0038-0938</t>
  </si>
  <si>
    <t>1573-093X</t>
  </si>
  <si>
    <t>10.1007/s11207-023-02159-w</t>
  </si>
  <si>
    <t>WOS:000998904000003</t>
  </si>
  <si>
    <t>Hmidet, A; Subramaniam, U; Elavarasan, RM; Raju, K; Diaz, M; Das, N; Mehmood, K; Karthick, A; Muhibbullah, M; Boubaker, O</t>
  </si>
  <si>
    <t>Hmidet, Ali; Subramaniam, Umashankar; Elavarasan, Rajvikram Madurai; Raju, Kannadasan; Diaz, Matias; Das, Narottam; Mehmood, Kashif; Karthick, Alagar; Muhibbullah, M.; Boubaker, Olfa</t>
  </si>
  <si>
    <t>Design of Efficient Off-Grid Solar Photovoltaic Water Pumping System Based on Improved Fractional Open Circuit Voltage MPPT Technique</t>
  </si>
  <si>
    <t>INTERNATIONAL JOURNAL OF PHOTOENERGY</t>
  </si>
  <si>
    <t>The main application of off-grid solar photovoltaic (SPV) systems is water extraction in rural areas where access to the grid is restricted. In this application, photovoltaic (PV) and pump system regulation are crucial to increase its overall efficiency. In this context, this work presents a simple and efficient off-grid SPV water pumping system (SPVWPS). The designed system is based on a DC-DC boost converter, a three-phase DC-AC inverter, and a three-phase induction motor (IM) coupled to the centrifugal pump. The proposed solution is operated using a control strategy that associates an improved fractional open-circuit voltage (FOCV) method for maximum power point tracking (MPPT) and closed-loop scalar control. This association avoids the use of a speed sensor/encoder and a current sensor for the IM. Finally, the effectiveness of the proposed off-grid SPVWPS and its control system for both steady-state and dynamic conditions of insolation change is verified using a 1KVA rated prototype. The relevance of the drive is also checked in various operating conditions and is found to be adequate for pumping water. Moreover, the proposed method guarantees a fast response, less oscillations around the MPP, a system efficiency of 99%, and a high flow rate due to the extraction of maximum power.</t>
  </si>
  <si>
    <t>Mehmood, Kashif/E-3494-2016; Subramaniam, Umashankar/B-9343-2017; Raju, Dr Kannadasan/AAN-8035-2020; Boubaker, Olfa/A-6179-2010; Das, Narottam/AFK-6571-2022; Karthick, Alagar/AAD-3877-2019; Muhibbullah, Md./J-2288-2019; Diaz, Matias/R-7570-2018</t>
  </si>
  <si>
    <t>Karthick, Alagar/0000-0002-0670-5138; Muhibbullah, Md./0000-0002-6601-9586; Raju, Kannadasan/0000-0001-7622-8261; HMIDET, ALI/0000-0001-5638-8313; Diaz, Matias/0000-0003-4489-9532; Das, Narottam/0000-0002-3396-4194</t>
  </si>
  <si>
    <t>1110-662X</t>
  </si>
  <si>
    <t>1687-529X</t>
  </si>
  <si>
    <t>10.1155/2021/4925433</t>
  </si>
  <si>
    <t>WOS:000716664900001</t>
  </si>
  <si>
    <t>Agostinis-Sobrinho, C; Santos, R; Rosário, R; Moreira, C; Lopes, L; Mota, J; Martinkenas, A; García-Hermoso, A; Correa-Bautista, JE; Ramírez-Vélez, R</t>
  </si>
  <si>
    <t>Agostinis-Sobrinho, Cesar; Santos, Rute; Rosario, Rafaela; Moreira, Carla; Lopes, Luis; Mota, Jorge; Martinkenas, Arvydas; Garcia-Hermoso, Antonio; Enrique Correa-Bautista, Jorge; Ramirez-Velez, Robinson</t>
  </si>
  <si>
    <t>Optimal Adherence to a Mediterranean Diet May Not Overcome the Deleterious Effects of Low Physical Fitness on Cardiovascular Disease Risk in Adolescents: A Cross-Sectional Pooled Analysis</t>
  </si>
  <si>
    <t>To examine the combined association of cardiorespiratory fitness (CRF), muscular fitness (MF), and adherence to a Mediterranean diet (MeDiet) on cardiovascular risk in adolescents, a pooled study, including cross-sectional data from two projects [2477 adolescents (1320 girls) aged 12-18 years], was completed. A shuttle run test was used to assess CRF. MF was assessed by the standing-long jump and handgrip tests. Adherence to a MeDiet was assessed by the Kidmed questionnaire. A cardiovascular risk score was computed from the following components: Age and sex, waist circumference, triglycerides, systolic blood pressure, high-density lipoprotein cholesterol (HDL), and glucose. Analysis of covariance showed that participants classified as having optimal (High) adherence to a MeDiet/HighMF/HighCRF, as well those classified as low adherence to a MeDiet/HighMF/HighCRF, had, on average, the lowest cardiovascular risk score (F = 15.6; p &lt; 0.001). In addition, the high adherence to a MeDiet/LowMF/LowCRF group had the highest odds of having a high cardiovascular risk (OR = 7.1; 95% CI: 3.4-15.1; p &lt; 0.001), followed by the low adherence to a MeDiet/LowMF/LowCRF group (OR = 3.7; 95% CI: 2.2-6.3; p &lt; 0.001), high adherence to a MeDiet/HighMF/LowCRF group (OR = 3.1; 95% CI: 1.4-7.0; p = 0.006), and low adherence to a MeDiet/LowMF/HighCRF group (OR = 2.5; 95% CI: 1.5-4.4; p = 0.002) when compared to those with high adherence to a MeDiet/HighMF/HighCRF, after adjustments for potential confounders. In conclusion, our findings showed that, regardless of the MeDiet status, adolescents with low MF and low CRF cumulatively, presented the highest cardiovascular disease risk. Therefore, these findings suggest that the combination of these two fitness components may be beneficial to adolescents' cardiometabolic profile, independent of MeDiet behaviour.</t>
  </si>
  <si>
    <t>Correa-Bautista, Jorge Enrique/JDD-3131-2023; Martinkenas, Arvydas/HGE-4780-2022; García-Hermoso, Antonio/ADU-2591-2022; Lopes, Luis/AAX-7957-2020; Agostinis Sobrinho, Cesar Aparecido/B-4971-2018; mota, jorge/B-2980-2013; Ramirez-Velez, Robinson/D-5311-2016; Lopes, Luis/M-3767-2013; Garcia-Hermoso, Antonio/P-1857-2017; Santos, Rute/A-6401-2012; Moreira, Carla/G-5176-2011; Correa-Bautista, Jorge Enrique/N-2741-2015; Rosario, Rafaela/M-6077-2013</t>
  </si>
  <si>
    <t>Agostinis Sobrinho, Cesar Aparecido/0000-0001-9104-9042; mota, jorge/0000-0001-7571-9181; Ramirez-Velez, Robinson/0000-0003-3075-6960; Lopes, Luis/0000-0001-6680-0893; Garcia-Hermoso, Antonio/0000-0002-1397-7182; Santos, Rute/0000-0002-7604-5753; Moreira, Carla/0000-0003-1039-6320; Correa-Bautista, Jorge Enrique/0000-0002-0646-2316; Rosario, Rafaela/0000-0001-6986-0007</t>
  </si>
  <si>
    <t>10.3390/nu10070815</t>
  </si>
  <si>
    <t>WOS:000447544900018</t>
  </si>
  <si>
    <t>Jiang, LX; Debus, ME; Xu, XH; Hu, XW; Lopez-Bohle, S; Petitta, L; Roll, LC; Stander, M; Wang, HJ</t>
  </si>
  <si>
    <t>Jiang, Lixin; Debus, Maike E.; Xu, Xiaohong; Hu, Xiaowen; Lopez-Bohle, Sergio; Petitta, Laura; Roll, Lara C.; Stander, Marius; Wang, Haijiang</t>
  </si>
  <si>
    <t>Preparing for a rainy day: A regulatory focus perspective on job insecurity and proactive career behaviors</t>
  </si>
  <si>
    <t>Previous research has primarily focused on how employees passively react to job insecurity (e.g., withdrawal). We shift this focus by examining when and for whom job insecurity may relate to proactive career behaviors. Leveraging regulatory focus theory and the diminishing marginal utility principle, we theorize a nonlinear moderated mediation model that links job insecurity to two proactive career behaviors - networking and seeking mentorship - through avoidance work motivation and depending on collectivism orientation. Two data sets, consisting of three-wave time-lagged surveys of employees from Chile and Australia, were used to examine our hypotheses. In both samples, for those high in collectivism orientation, job insecurity increased avoidance work motivation and subsequent proactive career behaviors up to a point, after which job insecurity was no longer related to these variables. For those low in collectivism orientation, regardless of the levels of job insecurity, there were no significant relations of job insecurity with avoidance motivation and subsequent proactive career behaviors in the Australian sample; however, the nonsignificant relations of job insecurity with avoidance motivation and subsequent proactive career behaviors turned positive in the Chilean sample. Overall, our research extends the job insecurity literature by demonstrating the conditions under which job insecurity increases proactive career behaviors.</t>
  </si>
  <si>
    <t>ROLL, Lara/N-5450-2017; Xu, Xiaohong/HOF-3833-2023; Bohle, Sergio/P-7698-2014</t>
  </si>
  <si>
    <t>PETITTA, Laura/0000-0002-1683-2253; Jiang, Lixin/0000-0003-0853-9329; Xu, Xiaohong (Violet)/0000-0002-4087-1623; Debus, Maike E./0000-0003-1040-540X; Roll, Lara/0000-0003-3061-1737</t>
  </si>
  <si>
    <t>e70004</t>
  </si>
  <si>
    <t>10.1111/apps.70004</t>
  </si>
  <si>
    <t>WOS:001445176400001</t>
  </si>
  <si>
    <t>Miranda, M; Campo, CG; Birba, A; Neely, A; Toro-Hernández, FD; Faure, E; Rojas, GM; Ibáñez, A; García, A</t>
  </si>
  <si>
    <t>Miranda, Magdalena; Campo, Cecilia Gonzalez; Birba, Agustina; Neely, Alejandra; Toro-Hernandez, Felipe Diego; Faure, Evelyng; Rojas, Gonzalo M.; Ibanez, Agustin; Garcia, Adolfo</t>
  </si>
  <si>
    <t>An action-concept processing advantage in a patient with a double motor cortex</t>
  </si>
  <si>
    <t>Patients with atrophy in motor brain regions exhibit selective deficits in processing action-related meanings, suggesting a link between movement conceptualization and the amount of regional tissue. Here we examine such a relation in a unique opposite model: a rare patient with a double cortex (due to subcortical band heterotopia) in primary/supplementary motor regions, and no double cortex in multimodal semantic regions. We measured behavioral performance in action- and object-concept processing as well and resting-state functional connectivity. Both dimensions involved comparisons with healthy controls. Results revealed preserved accuracy in action and object categories for the patient. However, unlike controls, the patient exhibited faster performance for action than object concepts, a difference that was uninfluenced by general cognitive abilities. Moreover, this pattern was accompanied by heightened functional connectivity between the bilateral primary motor cortices. This suggests that a functionally active double motor cortex may entail action-processing advantages. Our findings offer new constraints for models of action semantics and motor-region function at large.</t>
  </si>
  <si>
    <t>Birba, Agustina/AFR-3037-2022; García, Adolfo/E-7150-2017; Rojas, Gonzalo/B-2036-2013; Ibanez, Agustin/H-7976-2015</t>
  </si>
  <si>
    <t>Rojas-Costa, Gonzalo/0000-0002-6228-2678; Ibanez, Agustin/0000-0001-6758-5101; Miranda, Magdalena/0000-0002-6789-274X; Birba, Agustina/0000-0001-5998-6634; toro Hernandez, felipe/0000-0003-1237-343X</t>
  </si>
  <si>
    <t>10.1016/j.bandc.2021.105831</t>
  </si>
  <si>
    <t>WOS:000779125400002</t>
  </si>
  <si>
    <t>Guzman-Habinger, JM; Herreros-Irarrázabal, D; Kovalskys, I; Gómez, G; Rigotti, A; Cortés, LY; García, MY; Liria-Dominguez, MR; Herrera-Cuenca, M; Fisberg, M; Marques, A; Marconcin, P; Ferrari, G</t>
  </si>
  <si>
    <t>Guzman-Habinger, Juan Manuel; Herreros-Irarrazabal, Diego; Kovalskys, Irina; Gomez, Georgina; Rigotti, Attilio; Yadira Cortes, Lilia; Yepez Garcia, Martha; Liria-Dominguez, Maria Reyna; Herrera-Cuenca, Marianella; Fisberg, Mauro; Marques, Adilson; Marconcin, Priscila; Ferrari, Gerson</t>
  </si>
  <si>
    <t>Meeting 24-hour Movement Guidelines And Markers Of Adiposity In Adults From Eight Latin America Countries</t>
  </si>
  <si>
    <t>Marconcin, Priscila/GRO-2708-2022; Liria, Reyna/CAA-0410-2022; Ferrari, Gerson/HHM-6173-2022; Cortes, Lilia/AAF-2960-2019; Gomez, Georgina/AAR-7272-2020; Ferrari, Gerson/P-1152-2014; Marques, Adilson/K-4529-2014</t>
  </si>
  <si>
    <t>WOS:000888056602066</t>
  </si>
  <si>
    <t>Hidalgo-Hermoso, E; Cabello, J; Verasay, J; Moreira-Arce, D; Hidalgo, M; Abalos, P; Borie, C; Galarce, N; Napolitano, C; Sacristán, I; Cevidanes, A; Ramírez-Toloza, G; Farias, A; Di Cataldo, S; Lagos, R; Millán, J</t>
  </si>
  <si>
    <t>Hidalgo-Hermoso, Ezequiel; Cabello, Javier; Verasay, Juan; Moreira-Arce, Dario; Hidalgo, Marcos; Abalos, Pedro; Borie, Consuelo; Galarce, Nicolas; Napolitano, Constanza; Sacristan, Irene; Cevidanes, Aitor; Ramirez-Toloza, Galia; Farias, Ariel; Di Cataldo, Sophia; Lagos, Rocio; Millan, Javier</t>
  </si>
  <si>
    <t>SEROSURVEY FOR SELECTED PARASITIC AND BACTERIAL PATHOGENS IN DARWIN'S FOX (LYCALOPEX FULVIPES): NOT ONLY DOG DISEASES ARE A THREAT</t>
  </si>
  <si>
    <t>The Darwin's fox (Lycalopex fulvipes) is one of the most endangered carnivores worldwide, with the risk of disease spillover from domestic dogs being a major conservation threat. However, lack of epidemiologic information about generalist, non-dog-transmission-dependent protozoal and bacterial pathogens may be a barrier for disease prevention and management. To determine the exposure of some of these agents in Darwin's fox populations, 54 serum samples were collected from 47 Darwin's foxes in Southern Chile during 2013-18 and assessed for the presence of antibodies against Brucella abortus, Brucella canis, Coxiella burnetii, pathogenic Leptospira (serovars Grippotyphosa, Pomona, Canicola, Hardjo, and Copehageni), Toxoplasma gondii, and Neospora caninum. The highest seroprevalence was detected for T. gondii (78%), followed by pathogenic Leptospira (14%). All the studied Leptospira serovars were confirmed in at least one animal. Two foxes seroconverted to Leptospira and one to T. gondii during the study period. No seroconversions were observed for the other pathogens. No risk factors, either intrinsic (sex, age) or extrinsic (season, year, and degree of landscape anthropization), were associated with the probability of being exposed to T. gondii. Our results indicate that T. gondii exposure is widespread in the Darwin's fox population, including in areas with minimal anthropization, and that T. gondii and pathogenic Leptospira might be neglected threats to the species. Further studies identifying the causes of morbidity and mortality in Darwin's fox are needed to determine if these or other pathogens are having individual or population-wide effects in this species.</t>
  </si>
  <si>
    <t>Galarce, NICOLAS/AAC-7054-2020; Cevidanes, Aitor/M-4676-2016; Sacristan, Irene/JCD-8377-2023; Hidalgo-Hermoso, Ezequiel/ABB-6056-2020; Moreira-Arce, Dario/ABG-2898-2021; Millan, Javier/B-5399-2008; RAMIREZ, GALIA/H-9500-2013; Farias, Ariel/ABA-8072-2021</t>
  </si>
  <si>
    <t>Verasay Caviedes, Sebastian/0000-0003-0995-1227; Di Cataldo, Sophia/0000-0001-5917-7175; Millan, Javier/0000-0001-5608-781X; Moreira Arce, Dario/0000-0002-1188-496X; RAMIREZ, GALIA/0000-0001-8415-7918; Farias, Ariel/0000-0001-7510-2253; Cevidanes, Aitor/0000-0003-1874-6399</t>
  </si>
  <si>
    <t>10.7589/JWD-D-21-00024</t>
  </si>
  <si>
    <t>WOS:000741812000008</t>
  </si>
  <si>
    <t>Lukic, S; Fan, ZK; Garcia, AM; Welch, AE; Ratnasiri, BM; Wilson, SM; Henry, ML; Vonk, J; Deleon, J; Miller, BL; Miller, Z; Mandelli, ML; Gorno-Tempini, ML</t>
  </si>
  <si>
    <t>Lukic, Sladjana; Fan, Zekai; Garcia, Adolfo M.; Welch, Ariane E.; Ratnasiri, Buddhika M.; Wilson, Stephen M.; Henry, Maya L.; Vonk, Jet; Deleon, Jessica; Miller, Bruce L.; Miller, Zachary; Mandelli, Maria Luisa; Gorno-Tempini, Maria Luisa</t>
  </si>
  <si>
    <t>Discriminating nonfluent/agrammatic and logopenic PPA variants with automatically extracted morphosyntactic measures from connected speech</t>
  </si>
  <si>
    <t>Morphosyntactic assessments are important for characterizing individuals with nonfluent/agrammatic variant primary progressive aphasia (nfvPPA). Yet, standard tests are subject to examiner bias and often fail to differentiate between nfvPPA and logopenic variant PPA (lvPPA). Moreover, relevant neural signatures remain underexplored. Here, we leverage natural language processing tools to automatically capture morphosyntactic disturbances and their neuroanatomical correlates in 35 individuals with nfvPPA relative to 10 healthy controls (HC) and 26 individuals with lvPPA. Participants described a picture, and ensuing transcripts were analyzed via part-of-speech tagging to extract sentence-related features (e.g., subordinating and coordinating conjunctions), verbal-related features (e.g., tense markers), and nominal-related features (e.g., subjective and possessive pronouns). Gradient boosting machines were used to classify between groups using all features. We identified the most discriminant morphosyntactic marker via a feature importance algorithm and examined its neural correlates via voxel-based morphometry. Individuals with nfvPPA produced fewer morphosyntactic elements than the other two groups. Such features robustly discriminated them from both individuals with lvPPA and HCs with an AUC of .95 and .82, respectively. The most discriminatory feature corresponded to subordinating conjunctions was correlated with cortical atrophy within the left posterior inferior frontal gyrus across groups (p(FWE) &lt; .05). Automated morphosyntactic analysis can efficiently differentiate nfvPPA from lvPPA. Also, the most sensitive morphosyntactic markers correlate with a core atrophy region of nfvPPA. Our approach, thus, can contribute to a key challenge in PPA diagnosis. (c) 2024 Published by Elsevier Ltd.</t>
  </si>
  <si>
    <t>García, Adolfo/E-7150-2017; Henry, Maya/U-1748-2019; Mandelli, Maria/AAL-2840-2020; Mastrangelo, Mario/G-6519-2018</t>
  </si>
  <si>
    <t>Lukic, Sladjana/0000-0001-7009-3474</t>
  </si>
  <si>
    <t>10.1016/j.cortex.2023.12.013</t>
  </si>
  <si>
    <t>WOS:001188025000001</t>
  </si>
  <si>
    <t>Moreau, C; Blum, R; Mmari, K; Hunersen, K; Mafuta, E; Lulebi, A; Wilopo, S; Stones, W; Shervington, D; Michielsen, K; Lou, CH; Borges, AL; Maddaleno, M</t>
  </si>
  <si>
    <t>Moreau, Caroline; Blum, Robert; Mmari, Kristin; Hunersen, Kara; Mafuta, Eric; Lulebi, Aimee; Wilopo, Siswanto; Stones, William; Shervington, Denese; Michielsen, Kristien; Lou, Chaohua; Borges, Ana Luiza; Maddaleno, Matilde</t>
  </si>
  <si>
    <t>Gender and Health in Very Young Adolescents</t>
  </si>
  <si>
    <t>Borges, Ana/HOH-5629-2023; Wilopo, Siswanto/AAC-9417-2022; Stones, William/R-8618-2016; Borges, Ana/C-5196-2012; Moreau, Caroline/A-8989-2019</t>
  </si>
  <si>
    <t>Michielsen, Kristien/0000-0002-4119-6770; Mmari, Kristin/0000-0003-3087-7105; Stones, William/0000-0003-0699-2381; Borges, Ana/0000-0002-2807-1762; Moreau, Caroline/0000-0002-8637-6249; Hunersen, Kara/0000-0001-8412-4980</t>
  </si>
  <si>
    <t>S3</t>
  </si>
  <si>
    <t>S4</t>
  </si>
  <si>
    <t>10.1016/j.jadohealth.2021.04.012</t>
  </si>
  <si>
    <t>WOS:000669348200002</t>
  </si>
  <si>
    <t>KOETSAWANG, S; GUPTA, AN; RODRIGUEZHIDALGO, N; APELO, R; MENDEZMONTERO, G; RAUFF, M; FRASER, IS; BERNARD, R; CAMPBELL, H; PINOL, A; WILSON, E</t>
  </si>
  <si>
    <t>MINI-INCISION FOR POSTPARTUM STERILIZATION OF WOMEN - A MULTICENTERED, MULTINATIONAL PROSPECTIVE-STUDY</t>
  </si>
  <si>
    <t>A multicentered, multinational prospective study of the short-term complications associated with miniincision for postpartum sterilization of women carried out within 3 days of delivery was undertaken to determine the safety of this approach. Follow-up observations were made at 8 h, 1 wk and 6 wk following operation on 1026 women admitted to the study in 7 centers. The characteristics of the women were similar in all centers. Major complications occurred in 3 subjects (0.3%) and minor complications in 43 subjects (4.2%). For women undergoing the procedure under general anesthesia, there was both a longer incision and longer duration of operation than for women having the procedure under regional or local anesthesia. Miniincision for postpartum sterilization is a safe procedure which can be simply and rapidly performed under regional or local anesthesia.</t>
  </si>
  <si>
    <t>10.1016/0010-7824(82)90148-2</t>
  </si>
  <si>
    <t>WOS:A1982PW85200006</t>
  </si>
  <si>
    <t>Migeot, J; Hesse, E; Fittipaldi, S; Mejía, J; Fraile, M; García, AM; García, MD; Ortega, R; Lawlor, B; Lopez, V; Ibáñez, A</t>
  </si>
  <si>
    <t>Migeot, Joaquin; Hesse, Eugenia; Fittipaldi, Sol; Mejia, Jhonny; Fraile, Matias; Garcia, Adolfo M.; Garcia, Maria del Carmen; Ortega, Rodrigo; Lawlor, Brian; Lopez, Vladimir; Ibanez, Agustin</t>
  </si>
  <si>
    <t>Allostatic-interoceptive anticipation of social rejection</t>
  </si>
  <si>
    <t>NEUROIMAGE</t>
  </si>
  <si>
    <t>Anticipating social stress evokes strong reactions in the organism, including interoceptive modulations. However, evidence for this claim comes from behavioral studies, often with inconsistent results, and relates almost solely to the reactive and recovery phase of social stress exposure. Here, we adopted an allostatic-interoceptive predictive coding framework to study interoceptive and exteroceptive anticipatory brain responses using a social rejection task. We analyzed the heart -evoked potential (HEP) and task-related oscillatory activity of 58 adolescents via scalp EEG, and 385 human intracranial recordings of three patients with intractable epilepsy. We found that anticipatory interoceptive signals increased in the face of unexpected social outcomes, reflected in larger negative HEP modulations. Such signals emerged from key brain allostatic-interoceptive network hubs, as shown by intracranial recordings. Exteroceptive signals were characterized by early activity between 1-15 Hz across conditions, and modulated by the probabilistic anticipation of reward-related outcomes, observed over distributed brain regions. Our findings suggest that the anticipation of a social outcome is characterized by allostatic-interoceptive modulations that prepare the organism for possible rejection. These results inform our understanding of interoceptive processing and constrain neurobiological models of social stress.</t>
  </si>
  <si>
    <t>Lopez, Vladimir/N-7188-2017; García, Adolfo/E-7150-2017; Massé, Carmen/L-7906-2019; Ortega, Rodrigo/K-5494-2012; Ibanez, Agustin/H-7976-2015</t>
  </si>
  <si>
    <t>Hesse, Eugenia/0000-0002-9077-9833; Migeot, Joaquin/0000-0003-0647-5632; Lopez, Vladimir/0000-0001-5794-9338; Ortega, Rodrigo/0000-0001-9643-2091; Ibanez, Agustin/0000-0001-6758-5101; Mejia Perez, Jhony Alejandro/0000-0002-0313-6902; Fraile, Matias/0000-0002-2434-3572</t>
  </si>
  <si>
    <t>1053-8119</t>
  </si>
  <si>
    <t>1095-9572</t>
  </si>
  <si>
    <t>10.1016/j.neuroimage.2023.120200</t>
  </si>
  <si>
    <t>WOS:001013477600001</t>
  </si>
  <si>
    <t>Ramírez-Vélez, R; García-Hermoso, A; Correa-Rodríguez, M; Fernández-Irigoyen, J; Palomino-Echeverría, S; Santamaría, E; Correa-Bautista, JE; González-Ruíz, K; Izquierdo, M</t>
  </si>
  <si>
    <t>Ramirez-Velez, Robinson; Garcia-Hermoso, Antonio; Correa-Rodriguez, Maria; Fernandez-Irigoyen, Joaquin; Palomino-Echeverria, Sara; Santamaria, Enrique; Enrique Correa-Bautista, Jorge; Gonzalez-Ruiz, Katherine; Izquierdo, Mikel</t>
  </si>
  <si>
    <t>Effects of Different Doses of Exercise on Inflammation Markers Among Adolescents With Overweight/Obesity: HEPAFIT Study</t>
  </si>
  <si>
    <t>Propose Obesity-related metabolic risk factors in adolescents who are overweight/obese may be associated with systemic low-grade inflammation; therefore, we investigated whether 6 months of exercise training altered markers of inflammation. Methods Secondary analyses of a randomized controlled exercise-based intervention trial (September 2017-December 2018). Adolescents aged 11 to 17 years (Tanner stage II-V), 70% girls, with a body mass index z-score at or above the 85th percentile, and/or with excess of adiposity (body fat &gt;= 30%). The participants were randomly assigned to the following 4 groups for 6 months: (1) standard physical education lessons, as a control (CTRL); (2) high-intensity physical education class (HIPE); (3) low-to-moderate intensity physical education class (LIPE); (4) a combined group (PLUS). Inflammatory markers and immune molecules including chemokines, cytokines, and growth factors (n = 65 biomarkers) were determined by cytokine antibody array. Results Of the 120 randomly assigned participants, 95 were included in the analysis. Considering these 22 proteins, the LIPE group shows statistical significance in 9 proteins with log-fold change (logFC) and P &lt; 0.05 (in BLC, eotaxin, fibroblast growth factor-6 [FGF-6], GCP-2, I-309, IGFBP-4, MCP-4, NAP-2, and PARC), followed by the PLUS group in 9 proteins (BLC, pro-epidermal growth factor, eotaxin, FGF-6, MCP-4, NAP-2, osteopontin, PARC, and RANTES), the HIPE group in 7 proteins (FGF-4, FGF-7, GCP-2, IGF-1, IGFBP-1, IGFBP-4, and MIP-1 delta), and the CTRL group in 6 proteins (FGF-4, IP-10, Leptin, MCP-1, MIG, and MIP-1 delta). However, subanalysis performed to detect differentially expressed proteins at baseline and after intervention, with significance at an adjusted P value &lt;= 0.05 and absolute log fold-change (logFC) &gt;= 1.0, showed 3 downregulated proteins in the LIPE group (BLC(logFC) = 1.27, eotaxin((logFC)) = 1.18, and MCP-4((logFC)) = 1.14), and 4 proteins in the HIPE group (BLC(logFC) = 1.45, FGF-6((logFC)) = 1.20, MCP-4((logFC)) = 1.50, and PARC((logFC)) = 1.33), supporting that the changes we observed in the exercise groups were not time-related changes but occurred in response to exercise. Conclusions Implementing a 6-month physical exercise program in overweight/obese adolescents, based on LIPE and PLUS groups, significantly change several circulating inflammatory levels. Interventions involving supervised physical exercise may reduce the associated effects of systemic low-grade inflammation, thus preventing the development of obesity-related metabolic diseases in adolescents with overweight/obesity.</t>
  </si>
  <si>
    <t>Correa-Bautista, Jorge Enrique/JDD-3131-2023; García-Hermoso, Antonio/ADU-2591-2022; SANTAMARIA, ENRIQUE/A-6012-2017; González-Ruíz, Katherine/CAA-4624-2022; Ramirez-Velez, Robinson/D-5311-2016; Correa-Bautista, Jorge Enrique/N-2741-2015; Garcia-Hermoso, Antonio/P-1857-2017; Fernandez-Irigoyen, Joaquin/JBR-8052-2023; Izquierdo, Mikel/A-4894-2010; Correa-Rodriguez, Maria/G-1793-2018</t>
  </si>
  <si>
    <t>Ramirez-Velez, Robinson/0000-0003-3075-6960; Correa-Bautista, Jorge Enrique/0000-0002-0646-2316; Garcia-Hermoso, Antonio/0000-0002-1397-7182; Fernandez-Irigoyen, Joaquin/0000-0001-5072-4099; Izquierdo, Mikel/0000-0002-1506-4272; Correa-Rodriguez, Maria/0000-0001-9165-4349; Palomino-Echeverria, Sara/0000-0002-0451-3749; Gonzalez-Ruiz, Katherine/0000-0001-7518-0761</t>
  </si>
  <si>
    <t>E2619</t>
  </si>
  <si>
    <t>E2627</t>
  </si>
  <si>
    <t>10.1210/clinem/dgac021</t>
  </si>
  <si>
    <t>WOS:000763800800001</t>
  </si>
  <si>
    <t>López, RA; Shaaban, SM; Lazar, M</t>
  </si>
  <si>
    <t>Lopez, R. A.; Shaaban, S. M.; Lazar, M.</t>
  </si>
  <si>
    <t>General dispersion properties of magnetized plasmas with drifting bi-Kappa distributions. DIS-K: Dispersion Solver for Kappa Plasmas</t>
  </si>
  <si>
    <t>JOURNAL OF PLASMA PHYSICS</t>
  </si>
  <si>
    <t>Space plasmas are known to be out of (local) thermodynamic equilibrium, as observations show direct or indirect evidences of non-thermal velocity distributions of plasma particles. Prominent are the anisotropies relative to the magnetic field, anisotropic temperatures, field-aligned beams or drifting populations, but also, the suprathermal populations enhancing the high-energy tails of the observed distributions. Drifting bi-Kappa distribution functions can provide a good representation of these features and enable for a kinetic fundamental description of the dispersion and stability of these collision-poor plasmas, where particle-particle collisions are rare but wave-particle interactions appear to play a dominant role in the dynamics. In the present paper we derive the full set of components of the dispersion tensor for magnetized plasma populations modelled by drifting bi-Kappa distributions. A new solver called DIS-K (DIspersion Solver for Kappa plasmas) is proposed to solve numerically the dispersion relations of high complexity. The solver is validated by comparing with the damped and unstable wave solutions obtained with other codes, operating in the limits of drifting Maxwellian and non-drifting Kappa models. These new theoretical tools enable more realistic characterizations, both analytical and numerical, of wave fluctuations and instabilities in complex kinetic configurations measured in-situ in space plasmas.</t>
  </si>
  <si>
    <t>Shaaban, Shaaban/O-4663-2019; Lazar, Marian/U-7133-2019; Lazar, Marian/C-3264-2012; Lopez, Rodrigo/H-7576-2013</t>
  </si>
  <si>
    <t>Shaaban, Shaaban Mohammed/0000-0003-0465-598X; Lazar, Marian/0000-0002-8508-5466; Lopez, Rodrigo/0000-0003-3223-1498</t>
  </si>
  <si>
    <t>0022-3778</t>
  </si>
  <si>
    <t>1469-7807</t>
  </si>
  <si>
    <t>JUN 11</t>
  </si>
  <si>
    <t>10.1017/S0022377821000593</t>
  </si>
  <si>
    <t>WOS:000660021200001</t>
  </si>
  <si>
    <t>Solis-Urra, P; Sanchez-Martinez, J; Olivares-Arancibia, J; Piñero, JC; Sadarangani, KP; Ferrari, G; Rodríguez-Rodríguez, F; Gaya, A; Fochesatto, CF; Cristi-Montero, C</t>
  </si>
  <si>
    <t>Solis-Urra, Patricio; Sanchez-Martinez, Javier; Olivares-Arancibia, Jorge; Castro Pinero, Jose; Sadarangani, Kabir P.; Ferrari, Gerson; Rodriguez-Rodriguez, Fernando; Gaya, Anelise; Fochesatto, Camila Felin; Cristi-Montero, Carlos</t>
  </si>
  <si>
    <t>Physical fitness and its association with cognitive performance in Chilean schoolchildren: The Cogni-Action Project</t>
  </si>
  <si>
    <t>This study aimed to establish the association and differences in a diversity of cognitive domains according to cardiorespiratory fitness (CRF), muscular fitness (MF), and speed-agility fitness (S-AF) level in a large sample of Chilean schoolchildren. 1171 Chilean schoolchildren aged 10-14 years participated. CRF, MF, and S-AF were assessed through the ALPHA-fitness test battery. Cognition was evaluated through the NeuroCognitive Performance Test, which involved eight tests related to four main domains: cognitive flexibility (CF), working memory (WM), inhibitory control (IC), and intelligence (IN). Both global (multivariate) and individual (univariate) analyses were performed to determine the differences in cognitive functioning according to low-, middle-, and high-fitness level. The global analyses showed a significant main effect for CRF, F-(16,F-940) = 3.08, p &lt;= .001 and MF groups, F-(16,F-953) = 2.30, p = .002, but not for S-AF, F-(16,F-948) = 1.37, p = .105. CRF shows a significant main effect in seven of eight tests, involving CF, WM, IC, and IN domains, whereas MF shows a significant main effect in five of eight tests without association with IN. SA-F shows a significant main effect only with IC. Statistical differences were found between the low- and middle/high-fitness groups but not between the middle- and high-fitness groups. At a global level, both CRF and MF seem to be associated with a higher cognitive profile in scholars; however, at an individual level, all fitness components show a favorable relationship to some cognitive domine. Then, future cognitive developing strategies should consider all fitness components, prioritizing those low-fitness schoolchildren.</t>
  </si>
  <si>
    <t>Ferrari, Gerson/ABG-6635-2021; Solis-Urra, Patricio/ABH-5748-2022; Cristi-Montero, Carlos/AAE-4945-2020; Sanchez-Martinez, Javier/AAN-3385-2021; Castro-Pinero, Jose/H-5857-2015; Ferrari, Gerson/P-1152-2014; Gaya, Anelise/C-1140-2012; RODRIGUEZ, FERNANDO/F-2842-2016</t>
  </si>
  <si>
    <t>Cristi-Montero, Carlos/0000-0002-9940-507X; Castro-Pinero, Jose/0000-0002-7353-0382; Ferrari, Gerson/0000-0003-3177-6576; Gaya, Anelise/0000-0002-8335-6947; Solis-Urra, Patricio/0000-0002-2493-9528; RODRIGUEZ, FERNANDO/0000-0002-4999-4857</t>
  </si>
  <si>
    <t>10.1111/sms.13945</t>
  </si>
  <si>
    <t>WOS:000627826700001</t>
  </si>
  <si>
    <t>Dulic, D; Rates, A; Castro, E; Labra-Muñoz, J; Aravena, D; Etcheverry-Berrios, A; Riba-López, D; Ruiz, E; Aliaga-Alcalde, N; Soler, M; Echegoyen, L; van der Zant, HSJ</t>
  </si>
  <si>
    <t>Dulic, Diana; Rates, Alfredo; Castro, Edison; Labra-Munoz, Jacqueline; Aravena, Daniel; Etcheverry-Berrios, Alvaro; Riba-Lopez, Daniel; Ruiz, Eliseo; Aliaga-Alcalde, Nuria; Soler, Monica; Echegoyen, Luis; van der Zant, Herre S. J.</t>
  </si>
  <si>
    <t>Single-Molecule Transport of Fullerene-Based Curcuminoids</t>
  </si>
  <si>
    <t>We present experimental and theoretical studies of single-molecule conductance through nonplanar fullerocurcuminoid molecular dyads in ambient conditions using the mechanically controllable break junction technique. We show that molecular dyads with bare fullerenes form configurations with conductance features related to different transport channels within the molecules, as identified with filtering and clustering methods. The primary channel corresponds to charge transport through the methylthio-terminated backbone. Additional low-conductance channels involve one backbone side and the fullerene. In fullerenes with four additional equatorial diethyl malonate groups attached to them, the latter transport pathway is blocked. Density functional theory calculations corroborate the experimental observations. In combination with nonequilibrium green functions, the conductance values of the fullerocurcuminoid backbones are found to be similar to those of a planar curcuminoid molecule without a fullerene attached. In the nonplanar fullerocurcuminoid systems, the highest-conductance peak occurs partly through space, compensating for the charge delocalization loss present in the curcuminoid system.</t>
  </si>
  <si>
    <t>van der Zant, Herre/J-9467-2016; Aliaga-Alcalde, Núria/ABI-6678-2020; Castro, Edison/J-9198-2019; Dulic, Diana/D-5515-2012; Echegoyen, Luis/B-4570-2011; Rates, Alfredo/AAH-6769-2019; Ruiz, Eliseo/A-6268-2011; Soler, Monica/A-6705-2013; Etcheverry-Berrios, Alvaro/O-3990-2018; Aliaga-Alcalde, Nuria/H-5886-2011; Aravena, Daniel/F-2174-2011; Castro, Edison/A-6092-2017</t>
  </si>
  <si>
    <t>Ruiz, Eliseo/0000-0001-9097-8499; Soler, Monica/0000-0003-2125-6809; Etcheverry-Berrios, Alvaro/0000-0002-4965-3411; Aliaga-Alcalde, Nuria/0000-0003-1080-3862; Aravena, Daniel/0000-0003-3140-4852; Riba Lopez, Daniel/0000-0001-7976-6014; Rates, Alfredo/0000-0001-6154-873X; Castro, Edison/0000-0003-2954-9462</t>
  </si>
  <si>
    <t>10.1021/acs.jpcc.9b10166</t>
  </si>
  <si>
    <t>WOS:000510529400048</t>
  </si>
  <si>
    <t>Ferrari, G; Guzmán-Habinger, J; Herreros-Irarrázabal, D; Marques, A; Marconcin, P; Kovalskys, I; Gómez, G; Rigotti, A; Cortés, LY; García, MY; Liria-Domínguez, MR; Herrera-Cuenca, M; Fisberg, M</t>
  </si>
  <si>
    <t>Ferrari, Gerson; Guzman-Habinger, Juan; Herreros-Irarrazabal, Diego; Marques, Adilson; Marconcin, Priscila; Kovalskys, Irina; Gomez, Georgina; Rigotti, Attilio; Yadira Cortes, Lilia; Yepez Garcia, Martha; Liria-Dominguez, Maria Reyna; Herrera-Cuenca, Marianella; Fisberg, Mauro</t>
  </si>
  <si>
    <t>Correlates Of Meeting The Canadian 24-hour Movement Guidelines Among Adults: A Multi-national Cross-sectional Study</t>
  </si>
  <si>
    <t>Ferrari, Gerson/HHM-6173-2022; Gomez, Georgina/AAR-7272-2020; Cortes, Lilia/AAF-2960-2019; Liria, Reyna/CAA-0410-2022; Marconcin, Priscila/GRO-2708-2022; Ferrari, Gerson/P-1152-2014; Marques, Adilson/K-4529-2014</t>
  </si>
  <si>
    <t>WOS:000888056602075</t>
  </si>
  <si>
    <t>Birba, A; Beltrán, D; Caro, MM; Trevisan, P; Kogan, B; Sedeño, L; Ibáñez, A; García, AM</t>
  </si>
  <si>
    <t>Birba, Agustina; Beltran, David; Martorell Caro, Miguel; Trevisan, Piergiorgio; Kogan, Boris; Sedeno, Lucas; Ibanez, Agustin; Garcia, Adolfo M.</t>
  </si>
  <si>
    <t>Motor-system dynamics during naturalistic reading of action narratives in first and second language</t>
  </si>
  <si>
    <t>García, Adolfo/E-7150-2017; Molina, Miguel/AAB-8582-2020; Kogan, Boris/HPD-5180-2023; Birba, Agustina/AFR-3037-2022; Beltran, David/K-9684-2014; Ibanez, Agustin/H-7976-2015</t>
  </si>
  <si>
    <t>Beltran, David/0000-0003-1658-5915; Kogan, Boris/0000-0002-5844-6203; , Piergiorgio/0000-0001-5137-3155; Martorell Caro, Miguel Angel/0009-0007-6838-5831; Birba, Agustina/0000-0001-5998-6634; Ibanez, Agustin/0000-0001-6758-5101</t>
  </si>
  <si>
    <t>10.1016/j.neuroimage.2020.116820</t>
  </si>
  <si>
    <t>WOS:000541141700016</t>
  </si>
  <si>
    <t>Gheisari, M; Shafi, J; Kosari, S; Amanabadi, S; Mehdizadeh, S; Campusano, CF; Abdalla, HB</t>
  </si>
  <si>
    <t>Gheisari, Mehdi; Shafi, Jana; Kosari, Saeed; Amanabadi, Samaneh; Mehdizadeh, Saeid; Fernandez Campusano, Christian; Barzan Abdalla, Hemn</t>
  </si>
  <si>
    <t>Development of improved deep learning models for multi-step ahead forecasting of daily river water temperature</t>
  </si>
  <si>
    <t>ENGINEERING APPLICATIONS OF COMPUTATIONAL FLUID MECHANICS</t>
  </si>
  <si>
    <t>Precise river water temperature (WT) forecasts are essential for monitoring water quality. This study addresses the limited use of signal decomposition in hybrid WT prediction models by proposing three methods: namely ensemble empirical mode decomposition (EEMD) on AdaBoost, long short-term memory (LSTM), and gated recurrent unit (GRU). These models integrate ensemble empirical mode decomposition (EEMD) with machine learning techniques for forecasting WT across multiple time horizons (one, three, and five days). The performance of implemented models were tested on two river stations located on the Clackamas River (USGS 14211010) and Willamette River (USGS 14211720). Some error measures comprising root mean square (RMSE), mean absolute error (MAE), coefficient of determination (R2), uncertainty coefficient in 95% confidence level (U95%), and mean absolute percentage error (MAPE) were applied in assessing the models' performances. The performance of the proposed merged methods, including EEMD-AdaBoost, EEMD-LSTM, and EEMD-GRU, were compared with their simple forms. The outcomes illustrated that the hybrid models performed better than the relevant individual methods; however, the river WT forecasts of EEMD-LSTM and EEMD-GRU were found to be much closer to the observed data than those of the EEMD-AdaBoost method. The better accuracy of hybrid models compared to their corresponding simple ones can be explained by considering the potential of EEMD in separating intrinsic patterns and reducing the noises, leading to reliable forecasts of river WT time series. A performance comparison of the simple models also denoted the superiority of LSTM and GRU over the AdaBoost. The superior river WT forecasts at both stations during the testing stage were concluded for one day ahead at EEMD-GRU model (USGS 14211010: RMSE = 0.1929 degrees C, MAE = 0.1489 degrees C, R2 = 0.9988, U95% = 0.3745, MAPE = 1.3608%; USGS 14211720: RMSE = 0.1918 degrees C, MAE = 0.1558 degrees C, R2 = 0.9990, U95% = 0.3690, MAPE = 1.1790%).</t>
  </si>
  <si>
    <t>Gheisari, Mehdi/Y-4681-2018; Mehdizadeh, Saeid/AAG-3469-2021; Shafi, Jana/AAZ-7612-2021; Abdalla, Hemn/JAC-6499-2023; Fernández-Campusano, Christian/M-8749-2018</t>
  </si>
  <si>
    <t>Fernandez-Campusano, Christian/0000-0001-7033-4178; Abdalla, Hemn/0000-0002-3637-0447</t>
  </si>
  <si>
    <t>1994-2060</t>
  </si>
  <si>
    <t>1997-003X</t>
  </si>
  <si>
    <t>10.1080/19942060.2025.2450477</t>
  </si>
  <si>
    <t>WOS:001401089200001</t>
  </si>
  <si>
    <t>Amoruso, L; Pusil, S; García, AM; Ibañez, A</t>
  </si>
  <si>
    <t>Amoruso, Lucia; Pusil, Sandra; Martin Garcia, Adolfo; Ibanez, Agustin</t>
  </si>
  <si>
    <t>Decoding motor expertise from fine-tuned oscillatory network organization</t>
  </si>
  <si>
    <t>HUMAN BRAIN MAPPING</t>
  </si>
  <si>
    <t>Can motor expertise be robustly predicted by the organization of frequency-specific oscillatory brain networks? To answer this question, we recorded high-density electroencephalography (EEG) in expert Tango dancers and naives while viewing and judging the correctness of Tango-specific movements and during resting. We calculated task-related and resting-state connectivity at different frequency-bands capturing task performance (delta [delta], 1.5-4 Hz), error monitoring (theta [theta], 4-8 Hz), and sensorimotor experience (mu [mu], 8-13 Hz), and derived topographical features using graph analysis. These features, together with canonical expertise measures (i.e., performance in action discrimination, time spent dancing Tango), were fed into a data-driven computational learning analysis to test whether behavioral and brain signatures robustly classified individuals depending on their expertise level. Unsurprisingly, behavioral measures showed optimal classification (100%) between dancers and naives. When considering brain models, the task-based classification performed well (similar to 73%), with maximal discrimination afforded by theta-band connectivity, a hallmark signature of error processing. Interestingly, mu connectivity during rest outperformed (100%) the task-based approach, matching the optimal classification of behavioral measures and thus emerging as a potential trait-like marker of sensorimotor network tuning by intense training. Overall, our findings underscore the power of fine-tuned oscillatory network signatures for capturing expertise-related differences and their potential value in the neuroprognosis of learning outcomes.</t>
  </si>
  <si>
    <t>Amoruso, Lucía/P-6949-2019; Pusil, Sandra/AAH-3808-2019; García, Adolfo/E-7150-2017; Ibanez, Agustin/H-7976-2015</t>
  </si>
  <si>
    <t>Amoruso, Lucia/0000-0003-4696-2187; Ibanez, Agustin/0000-0001-6758-5101</t>
  </si>
  <si>
    <t>1065-9471</t>
  </si>
  <si>
    <t>1097-0193</t>
  </si>
  <si>
    <t>10.1002/hbm.25818</t>
  </si>
  <si>
    <t>WOS:000767196600001</t>
  </si>
  <si>
    <t>Dürr, C; Hanzálek, Z; Konrad, C; Seddik, Y; Sitters, R; Vásquez, OC; Woeginger, G</t>
  </si>
  <si>
    <t>Durr, Christoph; Hanzalek, Zdenek; Konrad, Christian; Seddik, Yasmina; Sitters, Ren; Vasquez, Oscar C.; Woeginger, Gerhard</t>
  </si>
  <si>
    <t>The triangle scheduling problem</t>
  </si>
  <si>
    <t>JOURNAL OF SCHEDULING</t>
  </si>
  <si>
    <t>This paper introduces a novel scheduling problem, where jobs occupy a triangular shape on the time line. This problem is motivated by scheduling jobs with different criticality levels. A measure is introduced, namely the binary tree ratio. It is shown that the Greedy algorithm solves the problem to optimality when the binary tree ratio of the input instance is at most 2. We also show that the problem is unary NP-hard for instances with binary tree ratio strictly larger than 2 and provide a quasi-polynomial time approximation scheme. The approximation ratio of Greedy on general instances is shown to be between 1.5 and 1.05.</t>
  </si>
  <si>
    <t>Hanzalek, Zdenek/O-9495-2019; Hanzalek, Zdenek/A-6607-2013</t>
  </si>
  <si>
    <t>Vasquez, Oscar C./0000-0002-1393-4692; Durr, Christoph/0000-0001-8103-5333; Hanzalek, Zdenek/0000-0002-8135-1296</t>
  </si>
  <si>
    <t>1094-6136</t>
  </si>
  <si>
    <t>1099-1425</t>
  </si>
  <si>
    <t>10.1007/s10951-017-0533-1</t>
  </si>
  <si>
    <t>WOS:000433520800003</t>
  </si>
  <si>
    <t>Moya, PS; López, RA; Lazar, M; Poedts, S; Shaaban, SM</t>
  </si>
  <si>
    <t>Moya, Pablo S.; Lopez, Rodrigo A.; Lazar, Marian; Poedts, Stefaan; Shaaban, Shaaban M.</t>
  </si>
  <si>
    <t>Comparing the Counter-beaming and Temperature Anisotropy Driven Aperiodic Electron Firehose Instabilities in Collisionless Plasma Environments</t>
  </si>
  <si>
    <t>The electron firehose instabilities are among the most studied kinetic instabilities, especially in the context of space plasmas, whose dynamics is mainly controlled by collisionless wave-particle interactions. This paper undertakes a comparative analysis of the aperiodic electron firehose instabilities excited either by the anisotropic temperature or by the electron counter-beaming populations. Two symmetric counter-beams provide an effective kinetic anisotropy similar to the temperature anisotropy of a single (nondrifting) population, with the temperature along the magnetic field direction larger than that in the perpendicular direction. Therefore, the counter-beaming plasma is susceptible to firehose-like instabilities (FIs), parallel and oblique branches. Here we focus on the oblique beaming FI, which is also aperiodic when the free energy is provided by symmetric counter-beams. Our results show that, for relative small drifts or beaming speeds (U), not exceeding the thermal speed (alpha), the aperiodic FIs exist in the same interval of wavenumbers and the same range of oblique angles (with respect to the magnetic field direction), but the growth rates of counter-beaming FI (CBFI) are always higher than those of temperature anisotropy FI (TAFI). For U/alpha &gt; 1, however, another electrostatic two-stream instability is also predicted, which may have growth rates higher than those of CBFI, and may dominate in that case the dynamics.</t>
  </si>
  <si>
    <t>Lazar, Marian/U-7133-2019; Poedts, Stefaan/AAG-1995-2019; Shaaban, Shaaban/O-4663-2019; Lazar, Marian/C-3264-2012; Poedts, Stefaan/C-9775-2012; Lopez, Rodrigo/H-7576-2013; Moya, Pablo S./C-3163-2011</t>
  </si>
  <si>
    <t>Shaaban, Shaaban Mohammed/0000-0003-0465-598X; Lazar, Marian/0000-0002-8508-5466; Poedts, Stefaan/0000-0002-1743-0651; Lopez, Rodrigo/0000-0003-3223-1498; Moya, Pablo S./0000-0002-9161-0888</t>
  </si>
  <si>
    <t>10.3847/1538-4357/ac8cf8</t>
  </si>
  <si>
    <t>WOS:000860220900001</t>
  </si>
  <si>
    <t>Lopatina, A; Medvedeva, S; Artamonova, D; Kolesnik, M; Sitnik, V; Ispolatov, Y; Severinov, K</t>
  </si>
  <si>
    <t>Lopatina, Anna; Medvedeva, Sofia; Artamonova, Daria; Kolesnik, Matvey; Sitnik, Vasily; Ispolatov, Yaroslav; Severinov, Konstantin</t>
  </si>
  <si>
    <t>Natural diversity of CRISPR spacers of Thermus: evidence of local spacer acquisition and global spacer exchange</t>
  </si>
  <si>
    <t>PHILOSOPHICAL TRANSACTIONS OF THE ROYAL SOCIETY B-BIOLOGICAL SCIENCES</t>
  </si>
  <si>
    <t>We investigated the diversity of CRISPR spacers of Thermus communities from two locations in Italy, two in Chile and one location in Russia. Among the five sampling sites, a total of more than 7200 unique spacers belonging to different CRISPR-Cas systems types and subtypes were identified. Most of these spacers are not found in CRISPR arrays of sequenced Thermus strains. Comparison of spacer sets revealed that samples within the same area (separated by few to hundreds of metres) have similar spacer sets, which appear to be largely stable at least over the course of several years. While at further distances (hundreds of kilometres and more) the similarity of spacer sets is decreased, there are still multiple common spacers in Thermus communities from different continents. The common spacers can be reconstructed in identical or similar CRISPR arrays, excluding their independent appearance and suggesting an extensive migration of thermophilic bacteria over long distances. Several new Thermus phages were isolated in the sampling sites. Mapping of spacers to bacteriophage sequences revealed examples of local acquisition of spacers from some phages and distinct patterns of targeting of phage genomes by different CRISPR-Cas systems. This article is part of a discussion meeting issue 'The ecology and evolution of prokaryotic CRISPR-Cas adaptive immune systems'.</t>
  </si>
  <si>
    <t>Lopatina, Anna/JAX-4118-2023; Medvedeva, Sofia/AAE-9287-2019; Artamonova, Daria/AAL-8352-2020; Kolesnik, Matvei/AAU-8989-2021; Ispolatov, Iaroslav/E-8544-2010</t>
  </si>
  <si>
    <t>Artamonova, Daria/0000-0002-1768-0183; Ispolatov, Iaroslav/0000-0002-0201-3396; Kolesnik, Matvei/0000-0002-7997-657X; Lopatina, Anna/0000-0002-3484-6819</t>
  </si>
  <si>
    <t>0962-8436</t>
  </si>
  <si>
    <t>1471-2970</t>
  </si>
  <si>
    <t>10.1098/rstb.2018.0092</t>
  </si>
  <si>
    <t>WOS:000465490800005</t>
  </si>
  <si>
    <t>Romo, AIB; Dibo, VS; Abreu, DS; Carepo, MSP; Neira, AC; Castillo, I; Lemus, L; Nascimento, OR; Bernhardt, PV; Sousa, EHS; Diógenes, ICN</t>
  </si>
  <si>
    <t>Romo, Adolfo I. B.; Dibo, Vitoria S.; Abreu, Dieric S.; Carepo, Marta S. P.; Neira, Andrea C.; Castillo, Ivan; Lemus, Luis; Nascimento, Otaciro R.; Bernhardt, Paul, V; Sousa, Eduardo H. S.; Diogenes, Izaura C. N.</t>
  </si>
  <si>
    <t>Ascorbyl and hydroxyl radical generation mediated by a copper complex adsorbed on gold</t>
  </si>
  <si>
    <t>This work presents the results obtained for a thioether derivative of bipyridine, (E,Z)-1-(4 '-methyl-[2,2 '-bipyridine]-4-yl)-N-(4(methylthio)phenyl)methanimine (4-mbpy-Bz-SMe), and its copper complex [Cu-II(4-mbpy-Bz-SMe)(2)](2+). Electronic spectra acquired at 183 K of the cuprous complex [Cu-I(4-mbpy-Bz-SMe)(2)](+) generated in situ indicated the formation of the peroxodicopper compound {[Cu-II(4-mbpy-Bz-SMe)(2)](2)(mu-O-2(2-))}(2+). A gold electrode modified with [Cu-II(4-mbpy-Bz-SMe)(2)](2+) (Au/[Cu]) was fully characterized by SERS spectroscopy, electrochemistry and impedance spectroscopy thus showing adsorption occurs through the sulfur atom of the 4-mbpy-Bz-SMe moieties. DNA cleavage assays showed the copper complex, in solution and adsorbed on gold, degrades DNA if reducing conditions are maintained, i.e. ascorbic acid (H(2)AA) in solution or applied potentials more negative than 0.12 V vs. Ag/AgCl (Cu-I form). The electron paramagnetic resonance (EPR) spectra obtained for the electrolyzed solution (E-apl = -0.2 V, no H2O2) and for the solution containing [Cu-II(4-mbpy-Bz-SMe)(2)](2+) and H2O2 showed hydroxyl radical, HO, generation had occurred. The cyclic voltammograms obtained with H(2)AA in solution at Au/[Cu-II(4-mbpy-Bz-SMe)(2)](2+) as the working electrode showed a one-electron reaction leading to the ascorbyl radical (HA), which was detected by EPR. The current assigned to the electrode oxidation of HA to AA decreased with the addition of catalase, a scavenger of H2O2, meaning peroxide is involved in the mechanism.</t>
  </si>
  <si>
    <t>Castillo, Ivan/C-5520-2012; Romo, Adolfo/ABH-1261-2020; Carepo, Marta/D-7196-2013; Diogenes, Izaura/H-6156-2012; S. Abreu, Dieric/L-2977-2017; Neira, Andrea Carolina/X-6346-2019; Sousa, Eduardo/J-8167-2014; Bernhardt, Paul/J-8008-2013; nascimento, otaciro/F-2794-2019</t>
  </si>
  <si>
    <t>Carepo, Marta/0000-0003-3222-8141; S. Abreu, Dieric/0000-0001-6809-2077; Neira, Andrea Carolina/0000-0002-6222-0370; Barros Romo, Adolfo Ignacio/0000-0002-9288-2420; Sousa, Eduardo/0000-0002-0007-8452; Bernhardt, Paul/0000-0001-6839-1763; nascimento, otaciro/0000-0002-5412-3722; LEMUS, LUIS/0000-0002-5499-8115; Castillo, Ivan/0000-0002-4876-4339; Dibo, Vitoria/0000-0003-0354-2860</t>
  </si>
  <si>
    <t>OCT 7</t>
  </si>
  <si>
    <t>10.1039/c9dt01726g</t>
  </si>
  <si>
    <t>WOS:000487514400026</t>
  </si>
  <si>
    <t>Wang, JB; Andrade-Cetto, A; Echeverria, J; Wardle, J; Yen, HR; Heinrich, M</t>
  </si>
  <si>
    <t>Wang, Jia-bo; Andrade-Cetto, Adolfo; Echeverria, Javier; Wardle, Jon; Yen, Hung-Rong; Heinrich, Michael</t>
  </si>
  <si>
    <t>Editorial: Ethnopharmacological Responses to the Coronavirus Disease 2019 Pandemic</t>
  </si>
  <si>
    <t>Wang, Jiabo/B-6681-2015; Echeverría, Javier/E-9989-2011; Yen, Jui-Hung/AAV-3455-2020; Yen, Hung-Rong/M-1373-2013; Andrade-Cetto, Adolfo/N-9850-2018</t>
  </si>
  <si>
    <t>Echeverria, Javier/0000-0002-1688-968X; Yen, Hung-Rong/0000-0002-0131-1658; Andrade-Cetto, Adolfo/0000-0002-1638-3443</t>
  </si>
  <si>
    <t>10.3389/fphar.2021.798674</t>
  </si>
  <si>
    <t>WOS:000761099600001</t>
  </si>
  <si>
    <t>Amran, M; Fediuk, R; Murali, G; Avudaiappan, S; Ozbakkaloglu, T; Vatin, N; Karelina, M; Klyuev, S; Gholampour, A</t>
  </si>
  <si>
    <t>Amran, Mugahed; Fediuk, Roman; Murali, Gunasekaran; Avudaiappan, Siva; Ozbakkaloglu, Togay; Vatin, Nikolai; Karelina, Maria; Klyuev, Sergey; Gholampour, Aliakbar</t>
  </si>
  <si>
    <t>Fly Ash-Based Eco-Efficient Concretes: A Comprehensive Review of the Short-Term Properties</t>
  </si>
  <si>
    <t>Development of sustainable concrete as an alternative to conventional concrete helps in reducing carbon dioxide footprint associated with the use of cement and disposal of waste materials in landfill. One way to achieve that is the use of fly ash (FA) as an alternative to ordinary Portland cement (OPC) because FA is a pozzolanic material and has a high amount of alumina and silica content. Because of its excellent mechanical properties, several studies have been conducted to investigate the use of alkali-activated FA-based concrete as an alternative to conventional concrete. FA, as an industrial by-product, occupies land, thereby causing environmental pollution and health problems. FA-based concrete has numerous advantages, such as it has early strength gaining, it uses low natural resources, and it can be configurated into different structural elements. This study initially presents a review of the classifications, sources, chemical composition, curing regimes and clean production of FA. Then, physical, fresh, and mechanical properties of FA-based concretes are studied. This review helps in better understanding of the behavior of FA-based concrete as a sustainable and eco-friendly material used in construction and building industries.</t>
  </si>
  <si>
    <t>Karelina, Maria/E-1309-2019; amran, mugahed/AAW-4821-2020; Klyuev, Sergey/W-4457-2017; Avudaiappan, Siva/AAV-7579-2021; Vatin, Nikolai Ivanovich/O-6995-2019; Gunasekaran, Murali/J-8425-2019; Ozbakkaloglu, Togay/F-7102-2014; Fediuk, Roman/N-6730-2017; Gholampour, Aliakbar/U-9458-2017</t>
  </si>
  <si>
    <t>Ozbakkaloglu, Togay/0000-0003-3015-736X; Klyuev, Sergey Vasilyevich/0000-0002-1995-6139; G, Murali/0000-0002-1151-0853; AVUDAIAPPAN, SIVA/0000-0002-4289-4298; Fediuk, Roman/0000-0002-2279-1240; Gholampour, Aliakbar/0000-0001-5069-2963; Vatin, Nikolai Ivanovich/0000-0002-1196-8004</t>
  </si>
  <si>
    <t>10.3390/ma14154264</t>
  </si>
  <si>
    <t>WOS:000682033200001</t>
  </si>
  <si>
    <t>Shaaban, SM; Lazar, M; López, RA; Wimmer-Schweingruber, RF</t>
  </si>
  <si>
    <t>Shaaban, S. M.; Lazar, M.; Lopez, R. A.; Wimmer-Schweingruber, R. F.</t>
  </si>
  <si>
    <t>On the interplay of solar wind proton and electron instabilities: linear and quasi-linear approaches</t>
  </si>
  <si>
    <t>Important efforts are currently being made to understand the so-called kinetic instabilities, driven by the anisotropy of different species of plasma particles present in the solar wind and terrestrial magnetosphere. These instabilities are fast enough to efficiently convert the free energy of plasma particles into enhanced (small-scale) fluctuations, with multiple implications, regulating the anisotropy of plasma particles. In this paper we use both linear and quasi-linear (QL) frameworks to describe complex unstable regimes, which realistically combine different temperature anisotropies of electrons and ions (protons). Thus various instabilities are parametrized, for example the proton and electron firehose, electromagnetic ion cyclotron and whistler instabilities, showing that their main linear properties are markedly altered by the interplay of anisotropic electrons and protons. Linear theory may predict the strong competition of two instabilities of different natures when their growth rates are comparable. In the QL phase, wave fluctuations grow and saturate at different levels and temporal scales, in comparison to results for the individual excitation of the proton or electron instabilities. In addition, the cumulative effects of the combined proton- and electron-induced fluctuations can markedly stimulate the relaxation of their temperature anisotropies. Only whistler fluctuations inhibit the efficiency of proton firehose fluctuations in the relaxation of anisotropic protons. These results offer valuable premises for further investigations in numerical simulations to decode the full spectrum of kinetic instabilities resulting from the interplay of anisotropic electrons and protons in space plasmas.</t>
  </si>
  <si>
    <t>Shaaban, Shaaban/O-4663-2019; Lazar, Marian/U-7133-2019; Wimmer-Schweingruber, Robert/AAQ-5794-2021; Lazar, Marian/C-3264-2012; Lopez, Rodrigo/H-7576-2013</t>
  </si>
  <si>
    <t>Lazar, Marian/0000-0002-8508-5466; Lopez, Rodrigo/0000-0003-3223-1498; Wimmer-Schweingruber, Robert/0000-0002-7388-173X; Shaaban, Shaaban Mohammed/0000-0003-0465-598X</t>
  </si>
  <si>
    <t>10.1093/mnras/stab075</t>
  </si>
  <si>
    <t>WOS:000649000600002</t>
  </si>
  <si>
    <t>Jiménez-Molina, A; Franco, P; Martínez, V; Martínez, P; Rojas, G; Araya, R</t>
  </si>
  <si>
    <t>Jimenez-Molina, Alvaro; Franco, Pamela; Martinez, Vania; Martinez, Pablo; Rojas, Graciela; Araya, Ricardo</t>
  </si>
  <si>
    <t>Internet-Based Interventions for the Prevention and Treatment of Mental Disorders in Latin America: A Scoping Review</t>
  </si>
  <si>
    <t>Background: There is a huge gap in the treatment of mental disorders in Latin America, especially among socioeconomically disadvantaged groups. Given the sharp increase in Internet access and the rapid penetration of smartphones in the region, the use of Internet-based technologies might potentially contribute to overcoming this gap and to provide more widely distributed and low-cost mental health care in a variety of contexts. Methods: We conducted a scoping review of the literature in order to systematically map the existing evidence on use of Internet-based interventions for prevention, treatment, and management of mental disorders across Latin American countries, as well as to identify existing gaps in knowledge. Six electronic databases were searched for published papers (PubMed, Embase, CINAHL, Web of Science, SciELO, and CENTRAL). Results: After the eligibility assessment, we identified 22 Internet-based studies carried out in Latin America for prevention, treatment, education, or facilitating self-management of mental disorders. Included studies mainly targeted depression (n = 11), substance misuse (n = 6), anxiety (n = 3), and mental health literacy for education and health professionals (n = 2). Most studies were undertaken in Brazil (n = 6), Mexico (n = 5), and Chile (n = 4). Only 3 studies were randomized controlled trials (RCTs), 4 were pilot RCTs, and 15 were naturalistic, acceptability, or feasibility studies. The three RCTs identified showed disparate results, but overall, there are challenges to face. Better results are seen in the short-term (postintervention or after 3 months), but most studies do not explore outcomes for long enough (follow-up after 6 or 12 months). Most of the feasibility and pilot studies showed reasonably good acceptability for a wide range of strategies but difficulties to engage and retain participants for long enough or adhering to established protocols. Conclusion: This study shows that Internet-based interventions for the prevention and treatment of mental disorders are growing rapidly in Latin America, but there are few studies on effectiveness and cost effectiveness, making it difficult to provide the evidence needed to justify scaling up these interventions.</t>
  </si>
  <si>
    <t>Martínez, Pablo/LZF-5853-2025; Araya, Ricardo/S-3144-2019; Jiménez, Álvaro/JGD-5887-2023; martinez, vania/HTR-5513-2023; Martinez, Vania/LBT-7587-2024</t>
  </si>
  <si>
    <t>Araya, Ricardo/0000-0002-0420-5148; Martinez, Vania/0000-0001-5980-7122; Franco, Pamela/0000-0002-6573-2136; Jimenez-Molina, Alvaro/0000-0002-5621-9322; Martinez, Pablo/0000-0003-4482-7993</t>
  </si>
  <si>
    <t>10.3389/fpsyt.2019.00664</t>
  </si>
  <si>
    <t>WOS:000485693300001</t>
  </si>
  <si>
    <t>Casassus, S; Avenhaus, H; Pérez, S; Navarro, V; Cárcamo, M; Marino, S; Cieza, L; Quanz, SP; Alarcón, F; Zurlo, A; Osses, A; Rannou, FR; Román, PE; Barraza, M</t>
  </si>
  <si>
    <t>Casassus, Simon; Avenhaus, Henning; Perez, Sebastian; Navarro, Victor; Carcamo, Miguel; Marino, Sebastian; Cieza, Lucas; Quanz, Sascha P.; Alarcon, Felipe; Zurlo, Alice; Osses, Axel; Rannou, Fernando R.; Roman, Pablo E.; Barraza, Marcelo</t>
  </si>
  <si>
    <t>An inner warp in the DoAr 44 T Tauri transition disc</t>
  </si>
  <si>
    <t>Optical/IR images of transition discs (TDs) have revealed deep intensity decrements in the rings of HAeBes HD 142527 and HD 100453 that can be interpreted as shadowing from sharply tilted inner discs, such that the outer discs are directly exposed to stellar light. Here we report similar dips in SPHERE+IRDIS differential polarized imaging (DPI) of T Tauri DoAr 44. With a fairly axially symmetric ring in the sub-mm radio continuum, DoAr 44 is likely also a warped system. We constrain the warp geometry by comparing radiative transfer predictions with the DPI data in H band (Q(phi) (H)) and with a re-processing of archival 336 GHz ALMA observations. The observed DPI shadows have coincident radio counterparts, but the intensity drops are much deeper in Q(phi) (H) (similar to 88 per cent), compared to the shallow drops at 336 GHz (similar to 24 per cent). Radiative transfer predictions with an inner disc tilt of similar to 30 +/- 5 deg approximately account for the observations. ALMA long-baseline observations should allow the observation of the warped gas kinematics inside the cavity of DoAr 44.</t>
  </si>
  <si>
    <t>Asenjo, Pablo/AAZ-8486-2021; Marino, Sebastian/AFP-2400-2022; Carcamo, Miguel/LEM-3690-2024; Casassus, Simon/I-8609-2016; Rannou, Fernando/G-5749-2019; Zurlo, Alice/Q-5011-2019; Osses, Axel/AAG-4825-2019; Pérez, Sebastián/AAS-5857-2020; Roman, Pablo/G-1960-2011; Osses, Axel/I-6366-2016</t>
  </si>
  <si>
    <t>Barraza Alfaro, Marcelo/0000-0001-6378-7873; Roman, Pablo/0000-0002-7105-9371; Alarcon, Felipe/0000-0002-2692-7862; Navarro Aranguiz, Victor/0000-0002-9160-9852; Zurlo, Alice/0000-0002-5903-8316; Osses, Axel/0000-0001-6833-4064; Perez, Sebastian/0000-0003-2953-755X; Cieza, Lucas/0000-0002-2828-1153; Carcamo, Miguel/0000-0003-0564-8167; Marino, Sebastian/0000-0002-5352-2924</t>
  </si>
  <si>
    <t>10.1093/mnras/sty894</t>
  </si>
  <si>
    <t>WOS:000435630100062</t>
  </si>
  <si>
    <t>Hales, AS; Gupta, A; Ruíz-Rodríguez, D; Williams, JP; Perez, S; Cieza, L; González-Ruilova, C; Pineda, JE; Santamaría-Miranda, A; Tobin, J; Weber, P; Zhu, Z; Zurlo, A</t>
  </si>
  <si>
    <t>Hales, A. S.; Gupta, A.; Ruiz-Rodriguez, D.; Williams, J. P.; Perez, S.; Cieza, L.; Gonzalez-Ruilova, C.; Pineda, J. E.; Santamaria-Miranda, A.; Tobin, J.; Weber, P.; Zhu, Z.; Zurlo, A.</t>
  </si>
  <si>
    <t>Discovery of an Accretion Streamer and a Slow Wide-angle Outflow around FU Orionis</t>
  </si>
  <si>
    <t>We present Atacama Large Millimeter/submillimeter Array 12-m, 7-m, and Total Power Array observations of the FU Orionis outbursting system, covering spatial scales ranging from 160 to 25,000 au. The high-resolution interferometric data reveal an elongated 12CO(2-1) feature previously observed at lower resolution in 12CO(3-2). Kinematic modeling indicates that this feature can be interpreted as an accretion streamer feeding the binary system. The mass infall rate provided by the streamer is significantly lower than the typical stellar accretion rates (even in quiescent states), suggesting that this streamer alone is not massive enough to sustain the enhanced accretion rates characteristic of the outbursting class prototype. The observed streamer may not be directly linked to the current outburst, but rather a remnant of a previous, more massive streamer that may have contributed enough to the disk mass to render it unstable and trigger the FU Orionis outburst. The new data detect, for the first time, a vast, slow-moving carbon monoxide molecular outflow emerging from this object. To accurately assess the outflow properties (mass, momentum, and kinetic energy), we employ 13CO(2-1) data to correct for optical depth effects. The analysis indicates that the outflow corresponds to swept-up material not associated with the current outburst, similar to the slow molecular outflows observed around other FUor and Class I protostellar objects.</t>
  </si>
  <si>
    <t>Pérez, Sebastián/AAS-5857-2020; Williams, Jonathan/O-2696-2017; Zurlo, Alice/Q-5011-2019; Pineda, Jaime/AAX-3157-2021; Pineda, Jaime/J-7405-2013</t>
  </si>
  <si>
    <t>Hales, Antonio/0000-0001-5073-2849; Santamaria-Miranda, Alejandro/0000-0001-6267-2820; Tobin, John/0000-0002-6195-0152; Williams, Jonathan/0000-0001-5058-695X; Gonzalez Ruilova, Camilo/0000-0003-4907-189X; Gupta, Aashish/0000-0002-9959-1933; Perez, Sebastian/0000-0003-2953-755X; Pineda, Jaime/0000-0002-3972-1978; Cieza, Lucas/0000-0002-2828-1153</t>
  </si>
  <si>
    <t>10.3847/1538-4357/ad31a1</t>
  </si>
  <si>
    <t>WOS:001209436500001</t>
  </si>
  <si>
    <t>Micera, A; Zhukov, AN; López, RA; Innocenti, ME; Lazar, M; Boella, E; Lapenta, G</t>
  </si>
  <si>
    <t>Micera, A.; Zhukov, A. N.; Lopez, R. A.; Innocenti, M. E.; Lazar, M.; Boella, E.; Lapenta, G.</t>
  </si>
  <si>
    <t>Particle-in-cell Simulation of Whistler Heat-flux Instabilities in the Solar Wind: Heat-flux Regulation and Electron Halo Formation</t>
  </si>
  <si>
    <t>We present results of a two-dimensional fully kinetic particle-in-cell simulation in order to shed light on the role of whistler waves in the scattering of strahl electrons and in the heat-flux regulation in the solar wind. We model the electron velocity distribution function as initially composed of core and strahl populations as typically encountered in the near-Sun solar wind as observed by Parker Solar Probe. We demonstrate that, as a consequence of the evolution of the electron velocity distribution function (VDF), two branches of the whistler heat-flux instability can be excited, which can drive whistler waves propagating in the direction oblique or parallel to the background magnetic field. First, oblique whistler waves induce pitch-angle scattering of strahl electrons, toward higher perpendicular velocities. This leads to the broadening of the strahl pitch-angle distribution and hence to the formation of a halo-like population at the expense of the strahl. Later on, the electron VDF experiences the effect of parallel whistler waves, which contributes to the redistribution of the particles scattered in the perpendicular direction into a more symmetric halo, in agreement with observations. Simulation results show a remarkable agreement with the linear theory of the oblique whistler heat-flux instability. The process is accompanied by a significant decrease of the heat flux carried by the strahl population.</t>
  </si>
  <si>
    <t>Boella, Elisabetta/ABD-3303-2021; Lazar, Marian/U-7133-2019; Micera, Alfredo/HQZ-7963-2023; Lazar, Marian/C-3264-2012; Lopez, Rodrigo/H-7576-2013; Lapenta, Giovanni/J-5221-2016; Boella, Elisabetta/K-6607-2015</t>
  </si>
  <si>
    <t>Micera, Alfredo/0000-0001-9293-174X; Innocenti, Maria Elena/0000-0002-5782-0013; Lazar, Marian/0000-0002-8508-5466; Zhukov, Andrei/0000-0002-2542-9810; Lopez, Rodrigo/0000-0003-3223-1498; Lapenta, Giovanni/0000-0002-3123-4024; Boella, Elisabetta/0000-0003-1970-6794</t>
  </si>
  <si>
    <t>L23</t>
  </si>
  <si>
    <t>10.3847/2041-8213/abc0e8</t>
  </si>
  <si>
    <t>WOS:000584294100001</t>
  </si>
  <si>
    <t>Liria-Dominguez, R; Perez-Albela, M; Vasquez, MP; Gomez, G; Kovalskys, I; Fisberg, M; Cortes, LY; Garcia, MCY; Herrera-Cuenca, M; Rigotti, A; Ferrari, G; Pareja, RG</t>
  </si>
  <si>
    <t>Liria-Dominguez, Reyna; Perez-Albela, Marcela; Vasquez, Maria-Paz; Gomez, Georgina; Kovalskys, Irina; Fisberg, Mauro; Cortes, Lilia Yadira; Yepez Garcia, Martha Cecilia; Herrera-Cuenca, Marianella; Rigotti, Attilio; Ferrari, Gerson; Pareja, Rossina G.</t>
  </si>
  <si>
    <t>ELANS Study Grp</t>
  </si>
  <si>
    <t>Correlation between Neck Circumference and Other Anthropometric Measurements in Eight Latin American Countries. Results from ELANS Study</t>
  </si>
  <si>
    <t>Neck circumference (NC) is being used to identify the risk of chronic diseases. There is a high prevalence of overweight and obesity in Latin America, and neck circumference is a simple and practical measurement to assess this, especially in primary health centers. We analyzed the correlation between the NC anthropometric indicator and other anthropometric measurements such as BMI and waist circumference (WC) in eight Latin American cities. We applied Pearson's correlation to identify the correlate NC with the other anthropometric variables stratified by sex; the sensitivity (Se) and specificity (Sp) by sex were evaluated according to the cut-off established with the Youden Index. The strongest correlations between NC and WC were found when stratified by sex (women: r = 0.71; men: r = 0.69, respectively) followed by the correlation between NC and BMI (r = 0.65, both sex). NC cut-off points of 39.0 cm in men and 32.9 cm in women identified those individuals with an increased WC and 39.8 and 33.7 cm, respectively, for a substantial increase in WC. For BMI &amp; GE; 25.0 kg/m(2) for men, the cut-off point was 37.5 cm, and for women, it was 33.1 cm, and for BMI &amp; GE; 30 kg/m(2), the cut-off points were 39.2 and 34.2 cm, for men and women, respectively. Conclusion: NC proved to be a useful, practical, and inexpensive tool that can be used to identify, evaluate, and monitor overweight and obese individuals.</t>
  </si>
  <si>
    <t>Ferrari, Gerson/ABG-6635-2021; Gomez, Georgina/AAR-7272-2020; Cortes, Lilia/AAF-2960-2019; Liria, Reyna/CAA-0410-2022; Pareja, Rossina/D-9892-2018; Fisberg, Mauro/E-7149-2010; Ferrari, Gerson/P-1152-2014; Liria-Dominguez, Reyna/F-1233-2018</t>
  </si>
  <si>
    <t>Pareja, Rossina/0000-0001-7523-3181; Fisberg, Mauro/0000-0003-2992-3215; Ferrari, Gerson/0000-0003-3177-6576; Liria-Dominguez, Reyna/0000-0002-5637-1519; Gomez, Georgina/0000-0003-3514-2984; Yepez, Martha Cecilia/0000-0003-4119-238X; Kovalskys, Irina/0000-0001-8481-5415; Cortes, Lilia Yadira/0000-0003-2789-3219</t>
  </si>
  <si>
    <t>10.3390/ijerph182211975</t>
  </si>
  <si>
    <t>WOS:000725179800001</t>
  </si>
  <si>
    <t>Damiani, A; Funke, B; Marsh, DR; López-Puertas, M; Santee, ML; Froidevaux, L; Wang, S; Jackman, CH; von Clarmann, T; Gardini, A; Cordero, RR; Storini, M</t>
  </si>
  <si>
    <t>Damiani, A.; Funke, B.; Marsh, D. R.; Lopez-Puertas, M.; Santee, M. L.; Froidevaux, L.; Wang, S.; Jackman, C. H.; von Clarmann, T.; Gardini, A.; Cordero, R. R.; Storini, M.</t>
  </si>
  <si>
    <t>Impact of January 2005 solar proton events on chlorine species</t>
  </si>
  <si>
    <t>Sudden changes in stratospheric chlorine species in the polar northern atmosphere, caused by the Solar Proton Events (SPEs) of 17 and 20 January 2005, have been investigated and compared with version 4 of the Whole Atmosphere Community Climate Model (WACCM4). We used Aura Microwave Limb Sounder (MLS) measurements to monitor the variability of ClO, HCl, HOCl and Michelson Interferometer for Passive Atmospheric Sounder (MIPAS) on ENVISAT to retrieve ClONO2. SPE-induced chlorine activation has been identified. HCl decrease occurred at nearly all the investigated altitudes (i.e., 10-0.5 hPa) with the strongest decrease (of about 0.25 ppbv) on 21 January. HOCl was found to be the main active chlorine species under nighttime conditions (with increases of more than 0.2 ppbv) whereas both HOCl and ClO enhancements (about 0.1 ppbv) have been observed at the polar night terminator. Further, small ClO decreases (of less than 0.1 ppbv) and ClONO2 enhancements (about 0.2 ppbv) have been observed at higher latitudes (i.e., at nighttime) roughly above 2 hPa. While WACCM4 reproduces most of the SPE-induced variability in the chlorine species fairly well, in some particular regions discrepancies between the modeled and measured temporal evolution of the abundances of chlorine species were found. HOCl changes are modelled very well with respect to both magnitude and geographic distribution. ClO decreases are reproduced at high latitudes, whereas ClO enhancements in the terminator region are underestimated and attributed to background variations. WACCM4 also reproduces the HCl depletion in the mesosphere but it does not show the observed decrease below about 2 hPa. Finally, WACCM4 simulations indicate that the observed ClONO2 increase is dominated by background variability, although SPE-induced production might contribute by 0.1 ppbv.</t>
  </si>
  <si>
    <t>Jackman, Charles/D-4699-2012; von Clarmann, Thomas/A-7287-2013; Santee, MIchelle/R-5762-2019; Damiani, Alessandro/X-4677-2019; Cordero, Raul/M-7979-2017; Marsh, Daniel/A-8406-2008; Lopez-Puertas, Manuel/M-8219-2013; Funke, Bernd/C-2162-2008; gardini, angela/L-9681-2014</t>
  </si>
  <si>
    <t>Damiani, Alessandro/0000-0003-3014-6193; Cordero, Raul R./0000-0001-7607-7993; Marsh, Daniel/0000-0001-6699-494X; von Clarmann, Thomas/0000-0003-2219-3379; Lopez-Puertas, Manuel/0000-0003-2941-7734; Funke, Bernd/0000-0003-0462-4702; gardini, angela/0000-0002-3234-9130</t>
  </si>
  <si>
    <t>10.5194/acp-12-4159-2012</t>
  </si>
  <si>
    <t>WOS:000304055600021</t>
  </si>
  <si>
    <t>Al Momani, D; Al Turk, Y; Abuashour, MI; Khalid, HM; Muyeen, SM; Sweidan, TO; Said, Z; Hasanuzzaman, M</t>
  </si>
  <si>
    <t>Al Momani, Derar; Al Turk, Yousef; Abuashour, Mohammed I.; Khalid, Haris M.; Muyeen, S. M.; Sweidan, Tha'er O.; Said, Zafar; Hasanuzzaman, M.</t>
  </si>
  <si>
    <t>Energy saving potential analysis applying factory scale energy audit-A case study of food production</t>
  </si>
  <si>
    <t>An energy audit (EA) is a crucial step in boosting factory energy efficiency and obtaining certification for cleaner manufacturing. The results of a preliminary energy audit carried out at a sizable industrial facility in Jordan that creates some of the most well-known foods in the Middle East are presented in this study. The monthly demand of the factory for diesel ranged from 75,251.545 to 166,666.67 L. The factory energy model which is used to examine the impact of various energy-saving practices on the factory's primary energy consumption, was developed with the help of the energy audit. It has been established that optimizing the factory's energy use and the boiler systems' performance with regards to diesel consumption can withstand an expected monthly financial savings of 14205.85 Jordanian Dinar (JD). This has allowed a reduction in energy use of up to 18%. The CO2 harmful emissions were also decreased. Additionally, it is estimated that switching from the proposed motors to energy-efficient motors will cost less overall over time, saving around 3472.314 JD/month or 0.33576/year on average. Moreover, it was discovered that a total of 772.82021 Ton CO2/year emissions may be avoided each year.</t>
  </si>
  <si>
    <t>Hasanuzzaman, Md/H-1242-2015; Muyeen, S M/GQA-7738-2022; Abuashour, Mohammad/J-2992-2019; Khalid, Haris M./T-5118-2017; Said Khan, Zafar/C-4086-2016</t>
  </si>
  <si>
    <t>Khalid, Haris M./0000-0002-1136-6433; Said Khan, Zafar/0000-0003-2376-9309; Altork, Yousef/0000-0003-0284-340X; Almomani, Derar/0000-0003-1427-9500; Abuashour, Mohammad/0000-0001-5186-9177</t>
  </si>
  <si>
    <t>e14216</t>
  </si>
  <si>
    <t>10.1016/j.heliyon.2023.e14216</t>
  </si>
  <si>
    <t>MAR 2023</t>
  </si>
  <si>
    <t>WOS:000968611000001</t>
  </si>
  <si>
    <t>Paital, B; Das, K; Malekdar, F; Sandoval, MA; Niaragh, EK; Frontistis, Z; Behera, TR; Balacco, G; Sangkham, S; Hati, AK; Mousazadeh, M</t>
  </si>
  <si>
    <t>Paital, Biswaranjan; Das, Kajari; Malekdar, Fatemeh; Sandoval, Miguel A.; Niaragh, Elnaz Karamati; Frontistis, Zacharias; Behera, Tapas Ranjan; Balacco, Gabriella; Sangkham, Sarawut; Hati, Akshaya Kumar; Mousazadeh, Milad</t>
  </si>
  <si>
    <t>A State-of-the-Art Review on SARS-CoV-2 Virus Removal Using Different Wastewater Treatment Strategies</t>
  </si>
  <si>
    <t>ENVIRONMENTS</t>
  </si>
  <si>
    <t>In addition to the numerous health effects caused by the COVID-19 pandemic, the scientific community has considered other emerging effects such as water-related impacts worthy of deep investigation. In this regard, the transmission cycles of the SARS-CoV-2 virus from fecal, vomiting, and sputum routes to sewage have led health authorities to diagnose, prevent, and use novel wastewater treatment technologies. Once they enter the gastrointestinal canal of a healthy person, viral particles can infect via the nominal amount of Angiotensin-Converting Enzyme 2 (ACE2) present in alimentary canal epithelial cell surfaces and further infect lung, heart, kidney, and other organs. The current review highlights the detection, status, and fate of SARS-CoV-2 from sewage treatment facilities to water bodies. Besides, it addresses the potential wastewater treatment processes to cope with various viruses, especially SARS-CoV-2. Many processes can manage contaminated wastewater and solid wastes over the long term, including membrane technologies, disinfectants, UV-light and advanced oxidation methods like photocatalysis, ozonation, hydrogen peroxide, nanomaterials, and algae. Future work must focus on implementing the selected actions for the treatment of the wastewater released from the COVID-19 hospitals and self-quarantine centers to better regulate future waves of SARS-CoV-2.</t>
  </si>
  <si>
    <t>Niaragh, Elnaz/AAJ-3924-2020; Sandoval, Miguel A/JCF-1838-2023; Sangkham, Sarawut/ABE-5425-2020; Mousazadehgavan, Milad/KTI-6446-2024; Frontistis, Zacharias/K-1320-2018; Paital, Biswaranjan/N-1585-2015; Balacco, Gabriella/C-1139-2016; Mousazadehgavan, Milad/W-3041-2018; Sandoval, Miguel/F-3645-2019</t>
  </si>
  <si>
    <t>Frontistis, Zacharias/0000-0002-1367-7729; Paital, Biswaranjan/0000-0002-5285-6578; Sangkham, Sarawut/0000-0002-0507-0177; Das, Kajari/0000-0003-3491-7258; Malekdar, Fatemeh/0000-0002-4527-3657; Balacco, Gabriella/0000-0002-5575-0066; Mousazadehgavan, Milad/0000-0003-1464-3915; Ranjan Behera, Tapas/0000-0003-3934-6546; Karamati Niaragh, Elnaz/0000-0002-4050-4815; Sandoval, Miguel/0000-0001-9659-5827</t>
  </si>
  <si>
    <t>2076-3298</t>
  </si>
  <si>
    <t>10.3390/environments9090110</t>
  </si>
  <si>
    <t>WOS:000860152500001</t>
  </si>
  <si>
    <t>González-Rubio, G; de Oliveira, TM; Albrecht, W; Díaz-Núñez, P; Castro-Palacio, JC; Prada, A; González, RI; Scarabelli, L; Bañares, L; Rivera, A; Liz-Marzán, LM; Peña-Rodríguez, O; Bals, S; Guerrero-Martínez, A</t>
  </si>
  <si>
    <t>Gonzalez-Rubio, Guillermo; de Oliveira, Thais Milagres; Albrecht, Wiebke; Diaz-Nunez, Pablo; Carlos Castro-Palacio, Juan; Prada, Alejandro; Gonzalez, Rafael I.; Scarabelli, Leonardo; Banares, Luis; Rivera, Antonio; Liz-Marzan, Luis M.; Pena-Rodriguez, Ovidio; Bals, Sara; Guerrero-Martinez, Andres</t>
  </si>
  <si>
    <t>Formation of Hollow Gold Nanocrystals by Nanosecond Laser Irradiation</t>
  </si>
  <si>
    <t>JOURNAL OF PHYSICAL CHEMISTRY LETTERS</t>
  </si>
  <si>
    <t>The irradiation of spherical gold nanoparticles (AuNPs) with nanosecond laser pulses induces shape transformations yielding nanocrystals with an inner cavity. The concentration of the stabilizing surfactant, the use of moderate pulse fluences, and the size of the irradiated AuNPs determine the efficiency of the process and the nature of the void. Hollow-nanocrystals are obtained when molecules from the surrounding medium (e.g., water and organic matter derived from the surfactant) are trapped during laser pulse irradiation. These experimental observations suggest the existence of a subtle balance between the heating and cooling processes experienced by the nanocrystals, which induce their expansion and subsequent recrystallization keeping exogenous matter inside. The described approach provides valuable insight into the mechanism of interaction of a pulsed nanosecond laser with AuNPs, along with interesting prospects for the development of hollow plasmonic nanoparticles with potential applications related to gas and liquid storage at the nanoscale.</t>
  </si>
  <si>
    <t>Díaz-Núñez, Pablo/AAA-7367-2020; Liz-Marzán, Luis/B-8910-2011; Castro, Juan/AAZ-5724-2020; Peña-Rodríguez, Ovidio/C-6640-2009; Martinez, Andres/KBC-9454-2024; Rivera, Antonio/AAA-9419-2019; Prada, Alejandro/KMA-4362-2024; González-Rubio, Guillermo/AAC-2374-2020; Banares, Luis/B-7922-2014; Gonzalez, Rafael I./I-8560-2015; Bals, Sara/F-6963-2016; Scarabelli, Leonardo/A-3792-2013</t>
  </si>
  <si>
    <t>Gonzalez-Rubio, Guillermo/0000-0003-2647-651X; Pena Rodriguez, Ovidio/0000-0002-7329-0550; Banares, Luis/0000-0002-0777-2375; Castro-Palacio, Juan Carlos/0000-0002-0132-9989; RIVERA, ANTONIO/0000-0002-8484-5099; Gonzalez, Rafael I./0000-0003-2599-8404; Bals, Sara/0000-0002-4249-8017; Albrecht, Wiebke/0000-0002-0800-4933; Scarabelli, Leonardo/0000-0002-6830-5893</t>
  </si>
  <si>
    <t>1948-7185</t>
  </si>
  <si>
    <t>FEB 6</t>
  </si>
  <si>
    <t>10.1021/acs.jpclett.9b03574</t>
  </si>
  <si>
    <t>WOS:000512223400012</t>
  </si>
  <si>
    <t>Acuna-Catalan, D; Shah, S; Wehrfritz, C; Nomura, M; Acevedo, A; Olmos, C; Quiroz, G; Huerta, H; Bons, J; Ampuero, E; Wyneken, U; Sanhueza, M; Arancibia, F; Contreras, D; Cardenas, JC; Morales, B; Schilling, B; Newman, JC; Gonzalez-Billault, C</t>
  </si>
  <si>
    <t>Acuna-Catalan, Diego; Shah, Samah; Wehrfritz, Cameron; Nomura, Mitsunori; Acevedo, Alejandro; Olmos, Cristina; Quiroz, Gabriel; Huerta, Hernan; Bons, Joanna; Ampuero, Estibaliz; Wyneken, Ursula; Sanhueza, Magdalena; Arancibia, Felipe; Contreras, Darwin; Cardenas, Julio Cesar; Morales, Bernardo; Schilling, Birgit; Newman, John C.; Gonzalez-Billault, Christian</t>
  </si>
  <si>
    <t>Ketogenic diet administration later in life improves memory by modifying the synaptic cortical proteome via the PKA signaling pathway in aging mice</t>
  </si>
  <si>
    <t>CELL REPORTS MEDICINE</t>
  </si>
  <si>
    <t>Aging compromises brain function leading to cognitive decline. A cyclic ketogenic diet (KD) improves memory in aged mice after long-term administration; however, short-term effects later in life and the molecular mechanisms that govern such changes remain unclear. Here, we explore the impact of a short-term KD treatment starting at elderly stage on brain function of aged mice. Behavioral testing and long-term potentiation (LTP) recordings reveal that KD improves working memory and hippocampal LTP. Furthermore, the synaptosome proteome of aged mice fed a KD long-term evidence changes predominantly at the presynaptic compartment associated to the protein kinase A (PKA) signaling pathway. These findings were corroborated in vivo by western blot analysis, with high BDNF abundance and PKA substrate phosphorylation. Overall, we show that a KD modifies brain function even when it is administered later in life and recapitulates molecular features of longterm administration, including the PKA signaling pathway, thus promoting synaptic plasticity at advanced age.</t>
  </si>
  <si>
    <t>Gonzalez-Billault, Christian/P-2393-2019; Sanhueza, Magdalena/LWK-2860-2024; Newman, John/L-8112-2013; Morales Castañeda, Bernardo/GPP-1642-2022</t>
  </si>
  <si>
    <t>Ampuero, Estibaliz/0000-0001-5543-1594; Acuna-Catalan, Diego/0000-0002-4470-868X; Sanhueza, Magdalena/0000-0001-8073-0385; Quiroz Nahuelpan, Gabriel Francisco Esteban/0000-0002-1883-886X</t>
  </si>
  <si>
    <t>2666-3791</t>
  </si>
  <si>
    <t>JUN 18</t>
  </si>
  <si>
    <t>10.1016/j.xcrm.2024.101593</t>
  </si>
  <si>
    <t>WOS:001296014000001</t>
  </si>
  <si>
    <t>Elgueta, SS; Matsunaga, N; Jian, M; Taniguchi, D; Kobayashi, N; Fukue, K; Hamano, S; Sameshima, H; Kondo, S; Arai, A; Ikeda, Y; Kawakita, H; Otsubo, S; Yasui, C; Tsujimoto, T</t>
  </si>
  <si>
    <t>Elgueta, S. S.; Matsunaga, N.; Jian, M.; Taniguchi, D.; Kobayashi, N.; Fukue, K.; Hamano, S.; Sameshima, H.; Kondo, S.; Arai, A.; Ikeda, Y.; Kawakita, H.; Otsubo, S.; Yasui, C.; Tsujimoto, T.</t>
  </si>
  <si>
    <t>Astrophysical calibration of the oscillator strengths of YJ-band absorption lines in classical Cepheids</t>
  </si>
  <si>
    <t>Newly-developed spectrographs with increased resolving powers, particularly those covering the near-IR range, allow the characterization of more and more absorption lines in stellar spectra. This includes the identification and confirmation of absorption lines and the calibration of oscillator strengths. In this study, we provide empirical values of log gf based on the abundances of classical Cepheids obtained with optical spectra to establish the consistency between optical and infrared abundance results. Using time series spectra of classical Cepheids obtained with WINERED spectrograph (0.97-1.35 mu m, R similar to 28000), we demonstrate that we can determine the stellar parameters of the observed Cepheids, including effective temperature (T-eff), surface gravity (log g), microturbulence (xi), and metallicity ([m/H]). With the newly calibrated relations of line-depth ratios, we can achieve accuracy and precision comparable to optical studies, with uncertainties of similar to 90 K and 0.108 dex for T-eff, and log g, respectively. Finally, we created a new atlas of absorption lines, featuring precise abundance measurements of various elements found in the atmosphere of Cepheids, including neutron-capture elements whose log gf values have been astrophysically calibrated.</t>
  </si>
  <si>
    <t>Hamano, Satoshi/AAQ-4883-2021; Sameshima, Hiroaki/R-3137-2019; Taniguchi, Daisuke/MYR-7703-2025</t>
  </si>
  <si>
    <t>Sameshima, Hiroaki/0000-0001-6401-723X; Taniguchi, Daisuke/0000-0002-2861-4069</t>
  </si>
  <si>
    <t>JUL 27</t>
  </si>
  <si>
    <t>10.1093/mnras/stae1674</t>
  </si>
  <si>
    <t>WOS:001281876300008</t>
  </si>
  <si>
    <t>Kaboth-Bahr, S; Bahr, A; Stepanek, C; Catunda, MCA; Karas, C; Ziegler, M; García-Gallardo, A; Grunert, P</t>
  </si>
  <si>
    <t>Kaboth-Bahr, Stefanie; Bahr, Andre; Stepanek, Christian; Catunda, Maria Carolina Amorim; Karas, Cyrus; Ziegler, Martin; Garcia-Gallardo, Angela; Grunert, Patrick</t>
  </si>
  <si>
    <t>Mediterranean heat injection to the North Atlantic delayed the intensification of Northern Hemisphere glaciations</t>
  </si>
  <si>
    <t>COMMUNICATIONS EARTH &amp; ENVIRONMENT</t>
  </si>
  <si>
    <t>The intensification of Northern Hemisphere glaciations at the end of the Pliocene epoch marks one of the most substantial climatic shifts of the Cenozoic. Despite global cooling, sea surface temperatures in the high latitude North Atlantic Ocean rose between 2.9-2.7 million years ago. Here we present sedimentary geochemical proxy data from the Gulf of Cadiz to reconstruct the variability of Mediterranean Outflow Water, an important heat source to the North Atlantic. We find evidence for enhanced production of Mediterranean Outflow from the mid-Pliocene to the late Pliocene which we infer could have driven a sub-surface heat channel into the high-latitude North Atlantic. We then use Earth System Models to constrain the impact of enhanced Mediterranean Outflow production on the northward heat transport in the North Atlantic. In accord with the proxy data, the numerical model results support the formation of a sub-surface channel that pumped heat from the subtropics into the high latitude North Atlantic. We further suggest that this mechanism could have delayed ice sheet growth at the end of the Pliocene. Subsurface heat transfer from the subtropical Atlantic Ocean to high latitudes during the mid-to-late Pliocene may have been responsible for a delay in the intensification of Northern Hemisphere glaciations, according to sedimentary proxy records and numerical modelling.</t>
  </si>
  <si>
    <t>Ziegler, Martin/N-9699-2013; Stepanek, Christian/ABA-9210-2021; Kaboth-Bahr, Stefanie/ABF-7573-2021; Karas, Cyrus/V-5775-2017</t>
  </si>
  <si>
    <t>Stepanek, Christian/0000-0002-3912-6271; Amorim Catunda, Maria Carolina/0000-0002-0821-5087; Ziegler, Martin/0000-0003-3198-6434; Grunert, Patrick/0000-0002-3633-8674; Karas, Cyrus/0000-0002-7436-5016; Garcia-Gallardo, Angela/0000-0001-8802-7512</t>
  </si>
  <si>
    <t>2662-4435</t>
  </si>
  <si>
    <t>10.1038/s43247-021-00232-5</t>
  </si>
  <si>
    <t>WOS:000685103600002</t>
  </si>
  <si>
    <t>Hsu, WC; Schweiger, C; Hart, CK; Smith, M; Varela, P; Gutierrez, C; Ormaechea, M; Cohen, AP; Rutter, MJ</t>
  </si>
  <si>
    <t>Hsu, Wei-Chung; Schweiger, Claudia; Hart, Catherine K.; Smith, Matthew; Varela, Patricio; Gutierrez, Carlos; Ormaechea, Martin; Cohen, Aliza P.; Rutter, Michael J.</t>
  </si>
  <si>
    <t>Management of the Disrupted Airway in Children</t>
  </si>
  <si>
    <t>LARYNGOSCOPE</t>
  </si>
  <si>
    <t>Objective Our objective was to gather data that would enable us to suggest more specific guidelines for the management of children with airway disruption. Study Design Retrospective case series with data from five tertiary medical centers. Methods Children younger than 18 years of age with a disrupted airway were enrolled in this series. Data pertaining to age, sex, etiology and location of the disruption, type of injury, previous surgery, presence of air extravasation, management, and outcome were obtained and summarized. Results Twenty children with a mean age of 4.4 years (range 1 day-14.75 years) were included in the study. All were evaluated by flexible endoscopy and/or microlaryngoscopy in the operating room. Twelve (60%) children had tracheal involvement; seven had bronchial involvement; and one had involvement of the cricoid cartilage. Nine children had air extravasation, and all these children required surgical repair. Of the 11 who did not have air extravasation, only one underwent surgical repair. Complete healing of the disrupted airway was seen in all cases. Conclusion This series suggests that if there is no continuous air extravasation demonstrated on imaging studies or clinical examination, nonoperative management may allow for spontaneous healing without sequelae. However, surgical repair may be considered in those patients with continuous air extravasation unless a cuffed tube can be placed distal to the site of injury. For children in whom airway injury occurs in a previously operated area, the risk of extravasation is reduced. This risk is also diminished if positive pressure ventilation can be avoided or minimized. Level of Evidence 4Laryngoscope, 2020</t>
  </si>
  <si>
    <t>Schweiger, Claudia/AAW-4931-2020</t>
  </si>
  <si>
    <t>Hart, Catherine/0000-0003-0670-9937; Hsu, Wei-Chung/0000-0001-8583-8459; Reis, AlessanRSS/0000-0001-8486-7469</t>
  </si>
  <si>
    <t>0023-852X</t>
  </si>
  <si>
    <t>1531-4995</t>
  </si>
  <si>
    <t>10.1002/lary.29051</t>
  </si>
  <si>
    <t>WOS:000567795100001</t>
  </si>
  <si>
    <t>Vonk, JMJ; Morin, BT; Pillai, J; Rolon, DR; Bogley, R; Baquirin, DP; Ezzes, Z; Tee, BL; de Leon, J; Wauters, L; Lukic, S; Montembeault, M; Younes, K; Miller, ZA; García, AM; Mandelli, ML; Miller, BL; Rosen, HJ; Rankin, KP; Sturm, V; Gorno-Tempini, ML</t>
  </si>
  <si>
    <t>Vonk, Jet M. J.; Morin, Brittany T.; Pillai, Janhavi; Rosado Rolon, David; Bogley, Rian; Baquirin, David Paul; Ezzes, Zoe; Tee, Boon Lead; de Leon, Jessica; Wauters, Lisa; Lukic, Sladjana; Montembeault, Maxime; Younes, Kyan; Miller, Zachary Adam; Garcia, Adolfo M.; Mandelli, Maria Luisa; Miller, Bruce L.; Rosen, Howard J.; Rankin, Katherine P.; Sturm, Virginia; Gorno-Tempini, Maria Luisa</t>
  </si>
  <si>
    <t>Automated Speech Analysis to Differentiate Frontal and Right Anterior Temporal Lobe Atrophy in Frontotemporal Dementia</t>
  </si>
  <si>
    <t>NEUROLOGY</t>
  </si>
  <si>
    <t>Background and ObjectivesFrontotemporal dementia (FTD) includes behavioral-variant FTD (bvFTD) with predominant frontal atrophy and semantic behavioral-variant FTD (sbvFTD) with predominant right anterior temporal lobe (rATL) atrophy. These variants present diagnostic challenges because of overlapping symptoms and neuroanatomy. Accurate differentiation is crucial for clinical trial inclusion targeting TDP-43 proteinopathies. This study investigated whether automated speech analysis can distinguish between FTD-related rATL and frontal atrophy, potentially offering a noninvasive diagnostic tool.MethodsThis cross-sectional study used data from the University of California, San Francisco Memory and Aging Center. Using stepwise logistic regression and receiver-operating characteristic curve analysis, we analyzed 16 linguistic and acoustic features that were extracted automatically from audio-recorded picture description tasks. Voxel-based morphometry was used to investigate brain-behavior relationships.ResultsWe evaluated 62 participants: 16 with FTD-related predominant frontal atrophy, 24 with predominant rATL atrophy, and 22 healthy controls (mean age 68.3 years, SD = 9.2; 53.2% female). Logistic regression identified 3 features (content units, lexical frequency, and familiarity) differentiating the overall FTD group from controls (area under the curve [AUC] = 0.973), adjusted for age. Within the FTD group, 5 features (adpositions/total words ratio, arousal, syllable pause duration, restarts, and words containing thing) differentiated frontal from rATL atrophy (AUC = 0.943). Neuroimaging analyses showed that semantic features (lexical frequency, content units, and thing words) were linked to bilateral inferior temporal lobe structures, speech and lexical features (syllable pause duration, and adpositions/total words ratio) to bilateral inferior frontal gyri, and socioemotional features (arousal) to areas known to mediate social cognition including the right insula and bilateral anterior temporal structures. As a composite score, this set of 5 features was uniquely associated with rATL atrophy.DiscussionAutomated speech analysis demonstrated high accuracy in differentiating FTD subtypes and provided insights into the neural basis of language impairments. Automated speech analysis could enhance early diagnosis and monitoring of FTD, offering a scalable, noninvasive alternative to traditional methods, particularly in resource-limited settings. Future research should focus on further clinical validation with other neuroimaging or fluid biomarkers and longitudinal cognitive data, as well as external validation in larger and more diverse populations.</t>
  </si>
  <si>
    <t>García, Adolfo/E-7150-2017; Wauters, Lisa Dianne/MSZ-8564-2025; Mandelli, Maria/AAL-2840-2020; Gorno-Tempini, Maria/E-7203-2012; Montembeault, Maxime/U-6604-2019</t>
  </si>
  <si>
    <t>0028-3878</t>
  </si>
  <si>
    <t>1526-632X</t>
  </si>
  <si>
    <t>e213556</t>
  </si>
  <si>
    <t>10.1212/WNL.0000000000213556</t>
  </si>
  <si>
    <t>WOS:001465996700001</t>
  </si>
  <si>
    <t>Marques, A; Ramirez-Campillo, R; Gouveia, ER; Ferrari, G; Tesler, R; Marconcin, P; Loureiro, V; Peralta, M; Sarmento, H</t>
  </si>
  <si>
    <t>Marques, Adilson; Ramirez-Campillo, Rodrigo; Gouveia, Elvio R.; Ferrari, Gerson; Tesler, Riki; Marconcin, Priscila; Loureiro, Vania; Peralta, Miguel; Sarmento, Hugo</t>
  </si>
  <si>
    <t>24-h Movement Guidelines and Overweight and Obesity Indicators in Toddlers, Children and Adolescents: A Systematic Review and Meta-Analysis</t>
  </si>
  <si>
    <t>SPORTS MEDICINE-OPEN</t>
  </si>
  <si>
    <t>BackgroundEngaging in physical activity increases energy expenditure, reducing total body fat. Time spent in sedentary behaviours is associated with overweight and obesity, and adequate sleep duration is associated with improved body composition. This systematic review aimed to analyse the relationship between compliance with the 24-h movement guidelines and obesity indicators in toddlers, children and adolescents.MethodsA systematic review and meta-analysis was conducted. PubMed, Web of Science and Scopus were searched from inception to December 2021. Cross-sectional and prospective studies that analysed the relationship between 24-h movement guidelines and overweight and obesity written in English, French, Portuguese or Spanish were included. PROSPERO registration number is CRD42022298316.ResultsThe associations between meeting the 24-h movement guidelines and standardised body mass index were null in the two studies for toddlers. Seven studies analysed the relationship between compliance with the 24-h movement guidelines and overweight and obesity among preschool children. Of these seven studies, six found no association between compliance with 24-h movement guidelines and body composition. Among children and adolescents, 15 articles were analysed. Of these 15 studies, in seven, it was found that children and adolescents who meet the 24-h movement guidelines were more likely to have lower risks of overweight and obesity. The meta-analysis yielded a pooled OR = 0.80 (95% CI = 0.68 to 0.95, p = 0.012, I-2 = 70.5%) in favour of compliant participants. Regarding participants' age groups, compliance with 24-h movement guidelines seems to exert greater benefits on overweight and obesity indicators among children-adolescents (OR = 0.62, p = 0.008) compared to participants at preschool (OR = 1.00, p = 0.931) and toddlers (OR = 0.91, p = 0.853).ConclusionMost included studies have not observed a significant relationship between compliance with the 24-h movement guidelines and overweight and obesity in toddlers, children and adolescents.</t>
  </si>
  <si>
    <t>Ferrari, Gerson/HHM-6173-2022; Ramirez-Campillo, Rodrigo/M-1258-2016; Marconcin, Priscila/GRO-2708-2022; de Gouveia, Ricardo/B-4965-2019; Sarmento, Hugo/K-8684-2012; Marques, Adilson/K-4529-2014; Peralta, Miguel/H-1666-2017; Ferrari, Gerson/P-1152-2014; Loureiro, Vania/P-1186-2016</t>
  </si>
  <si>
    <t>Sarmento, Hugo/0000-0001-8681-0642; Marconcin, Priscila/0000-0002-1295-0826; Marques, Adilson/0000-0001-9850-7771; Peralta, Miguel/0000-0001-6072-6012; Ramirez-Campillo, Rodrigo/0000-0003-2035-3279; Ferrari, Gerson/0000-0003-3177-6576; Loureiro, Vania/0000-0003-2458-3004</t>
  </si>
  <si>
    <t>2199-1170</t>
  </si>
  <si>
    <t>2198-9761</t>
  </si>
  <si>
    <t>10.1186/s40798-023-00569-5</t>
  </si>
  <si>
    <t>WOS:000987153700001</t>
  </si>
  <si>
    <t>Donoso-Gonzalez, O; Riveros, AL; Marco, JF; Venegas-Yazigi, D; Paredes-Garcia, V; Olguin, CF; Mayorga-Lobos, C; Lobos-Gonzalez, L; Franco-Campos, F; Wang, JS; Kogan, MJ; Bollo, S; Yanez, C; Baez, DF</t>
  </si>
  <si>
    <t>Donoso-Gonzalez, Orlando; Riveros, Ana L.; Marco, Jose F.; Venegas-Yazigi, Diego; Paredes-Garcia, Veronica; Olguin, Camila F.; Mayorga-Lobos, Cristina; Lobos-Gonzalez, Lorena; Franco-Campos, Felipe; Wang, Joseph; Kogan, Marcelo J.; Bollo, Soledad; Yanez, Claudia; Baez, Daniela F.</t>
  </si>
  <si>
    <t>Iron-Reduced Graphene Oxide Core-Shell Micromotors Designed for Magnetic Guidance and Photothermal Therapy under Second Near-Infrared Light</t>
  </si>
  <si>
    <t>Core-shell micro/nanomotors have garnered significant interest in biomedicine owing to their versatile task-performing capabilities. However, their effectiveness for photothermal therapy (PTT) still faces challenges because of their poor tumor accumulation, lower light-to-heat conversion, and due to the limited penetration of near-infrared (NIR) light. In this study, we present a novel core-shell micromotor that combines magnetic and photothermal properties. It is synthesized via the template-assisted electrodeposition of iron (Fe) and reduced graphene oxide (rGO) on a microtubular pore-shaped membrane. The resulting Fe-rGO micromotor consists of a core of oval-shaped zero-valent iron nanoparticles with large magnetization. At the same time, the outer layer has a uniform reduced graphene oxide (rGO) topography. Combined, these Fe-rGO core-shell micromotors respond to magnetic forces and near-infrared (NIR) light (1064 nm), achieving a remarkable photothermal conversion efficiency of 78% at a concentration of 434 mu g mL-1. They can also carry doxorubicin (DOX) and rapidly release it upon NIR irradiation. Additionally, preliminary results regarding the biocompatibility of these micromotors through in vitro tests on a 3D breast cancer model demonstrate low cytotoxicity and strong accumulation. These promising results suggest that such Fe-rGO core-shell micromotors could hold great potential for combined photothermal therapy.</t>
  </si>
  <si>
    <t>Bollo, Soledad/B-5257-2011; riveros, ana/AAD-2134-2020; Donoso, Orlando/HTR-8548-2023; Wang, Joseph/C-6175-2011; kogan, Marcelo/I-2868-2013; Venegas-Yazigi, Diego/C-5022-2009; Marco, JF/N-3176-2014; Paredes-Garcia, Veronica/C-4415-2011</t>
  </si>
  <si>
    <t>Franco-Campos, Felipe/0009-0002-7850-6186; Venegas-Yazigi, Diego/0000-0001-7816-2841; Marco, JF/0000-0002-5147-1449; Donoso-Gonzalez, Orlando/0000-0002-9614-7781; Lobos-Gonzalez, Lorena/0000-0002-4957-9864; Kogan, Marcelo/0000-0003-0608-5087; Paredes-Garcia, Veronica/0000-0002-7537-7430; Bollo, Soledad/0000-0003-0868-4294; Yanez, Claudia/0000-0003-4531-0742</t>
  </si>
  <si>
    <t>10.3390/pharmaceutics16070856</t>
  </si>
  <si>
    <t>WOS:001277353500001</t>
  </si>
  <si>
    <t>Valenzuela, PL; Morales, JS; Castillo-Garcia, A; Mayordomo-Cava, J; García-Hermoso, A; Izquierdo, M; Serra-Rexach, JA; Lucia, A</t>
  </si>
  <si>
    <t>Valenzuela, Pedro L.; Morales, Javier S.; Castillo-Garcia, Adrian; Mayordomo-Cava, Jennifer; Garcia-Hermoso, Antonio; Izquierdo, Mikel; Serra-Rexach, Jose A.; Lucia, Alejandro</t>
  </si>
  <si>
    <t>Effects of exercise interventions on the functional status of acutely hospitalised older adults: A systematic review and meta-analysis</t>
  </si>
  <si>
    <t>AGEING RESEARCH REVIEWS</t>
  </si>
  <si>
    <t>Background: Acute hospitalisation can have adverse effects in older adults, notably functional decline. We aimed to summarize evidence on the effects of exercise interventions in acutely hospitalised older adults. Methods: Relevant articles were systematically searched (PubMed, Web of Science, Rehabilitation &amp; Sports Medicine Source, and EMBASE) until 19th March 2020. Randomized controlled trials (RCTs) of in-hospital exercise interventions versus usual care conducted in older adults (&gt; 60yrs) hospitalised for an acute medical condition were included. Methodological quality of the studies was assessed with the PEDro scale. Primary outcomes included functional independence and physical performance. Intervention effects were also assessed for other major outcomes (length of hospital stay, incidence of readmission, and mortality). A meta-analysis was conducted when &gt;= 3 studies analysed the same outcome. Results: Fifteen studies from 12 RCTs (n = 1748) were included. Methodological quality of the studies was overall high. None of the studies reported any adverse event related to the intervention. Exercise interventions improved functional independence at discharge (standardized mean difference [SMD] = 0.64, 95% confidence interval = 0.19-1.08) and 1-3 months post-discharge (SMD = 0.29, 95%CI = 0.13-0.43), as well as physical performance (SMD = 0.57, 95%CI = 0.18-0.95). No between-group differences were found for length of hospital stay or risk of readmission or mortality (all p &gt; 0.05). Conclusions: In-hospital supervised exercise interventions seem overall safe and effective for improving - or attenuating the decline of - functional independence and physical performance in acutely hospitalised older adults. The clinical relevance of these findings remains to be confirmed in future research.</t>
  </si>
  <si>
    <t>Morales, Javier/AAI-2399-2019; García-Hermoso, Antonio/ADU-2591-2022; Valenzuela, Pedro/O-7601-2019; Serra, Jose/LWI-3309-2024; Mayordomo-Cava, Jennifer/U-1506-2017; Izquierdo, Mikel/A-4894-2010; Garcia-Hermoso, Antonio/P-1857-2017</t>
  </si>
  <si>
    <t>Mayordomo-Cava, Jennifer/0000-0001-6476-1173; Serra Rexach, Jose A./0000-0003-1698-0624; Valenzuela Tallon, Pedro Luis/0000-0003-1730-3369; Castillo Garcia, Adrian/0000-0002-0098-0235; Izquierdo, Mikel/0000-0002-1506-4272; Morales Rojas, Javier Salvador/0000-0002-3255-3246; Garcia-Hermoso, Antonio/0000-0002-1397-7182</t>
  </si>
  <si>
    <t>1568-1637</t>
  </si>
  <si>
    <t>1872-9649</t>
  </si>
  <si>
    <t>10.1016/j.arr.2020.101076</t>
  </si>
  <si>
    <t>WOS:000540712600003</t>
  </si>
  <si>
    <t>Lubin, D; Kahn, BH; Lazzara, MA; Rowe, P; Walden, V</t>
  </si>
  <si>
    <t>Lubin, Dan; Kahn, Brian H.; Lazzara, Matthew A.; Rowe, Penny; Walden, Von P.</t>
  </si>
  <si>
    <t>Variability in AIRS-retrieved cloud amount and thermodynamic phase over west versus east Antarctica influenced by the SAM</t>
  </si>
  <si>
    <t>In a sample of summertime cloud retrievals from the NASA Atmospheric Infrared Sounder (AIRS), a positive Southern Annular Mode (SAM) index polarity is associated with greater cloud frequency and larger effective cloud fraction over West Antarctica compared with a negative SAM index polarity. The opposite result appears over the high East Antarctic Plateau. Comparing AIRS-retrieved cloud fraction with Antarctic Automatic Weather Station 2 m air temperature data, a positive and significant correlation is found over most of West Antarctica, signifying a longwave heating effect of clouds. Over East Antarctica correlations between Sun elevation and 2 m air temperature are strongest, consistent with lower cloud amount.</t>
  </si>
  <si>
    <t>Lazzara, Matthew/0000-0002-4343-498X</t>
  </si>
  <si>
    <t>10.1002/2014GL062285</t>
  </si>
  <si>
    <t>WOS:000351851900037</t>
  </si>
  <si>
    <t>Játiva, PP; Sánchez, I; Soto, I; Azurdia-Meza, CA; Zabala-Blanco, D; Ijaz, M; Firoozabadi, AD; Plets, D</t>
  </si>
  <si>
    <t>Palacios Jativa, Pablo; Sanchez, Ivan; Soto, Ismael; Azurdia-Meza, Cesar A.; Zabala-Blanco, David; Ijaz, Muhammad; Dehghan Firoozabadi, Ali; Plets, David</t>
  </si>
  <si>
    <t>A Novel and Adaptive Angle Diversity-Based Receiver for 6G Underground Mining VLC Systems</t>
  </si>
  <si>
    <t>ENTROPY</t>
  </si>
  <si>
    <t>Visible light communication (VLC) is considered an enabling technology for future 6G wireless systems. Among the many applications in which VLC systems are used, one of them is harsh environments such as Underground Mining (UM) tunnels. However, these environments are subject to degrading environmental and intrinsic challenges for optical links. Therefore, current research should focus on solutions to mitigate these problems and improve the performance of Underground Mining Visible Light Communication (UM-VLC) systems. In this context, this article presents a novel solution that involves an improvement to the Angle Diversity Receivers (ADRs) based on the adaptive orientation of the Photo-Diodes (PDs) in terms of the Received Signal Strength Ratio (RSSR) scheme. Specifically, this methodology is implemented in a hemidodecahedral ADR and evaluated in a simulated UM-VLC scenario. The performance of the proposed design is evaluated using metrics such as received power, user data rate, and bit error rate (BER). Furthermore, our approach is compared with state-of-the-art ADRs implemented with fixed PDs and with the Time of Arrival (ToA) reception method. An improvement of at least 60% in terms of the analyzed metrics compared to state-of-the-art solutions is obtained. Therefore, the numerical results demonstrate that the hemidodecahedral ADR, with adaptive orientation PDs, enhances the received optical signal. Furthermore, the proposed scheme improves the performance of the UM-VLC system due to its optimum adaptive angular positioning, which is completed according to the strongest optical received signal power. By improving the performance of the UM-VLC system, this novel method contributes to further consideration of VLC systems as potential and enabling technologies for future 6G deployments.</t>
  </si>
  <si>
    <t>Meza, Cesar/D-6948-2014; Dehghan Firoozabadi, Ali/AAD-4858-2019; Palacios Játiva, Pablo/AAE-8235-2019</t>
  </si>
  <si>
    <t>Ijaz, Muhammad/0000-0002-0050-9435; Zabala-Blanco, David/0000-0002-5692-5673; Azurdia, Cesar/0000-0003-3461-4484; Soto, Ismael/0000-0002-5501-5651; Sanchez Salazar, Ivan Ricardo/0000-0003-0686-8612; Palacios, Pablo/0000-0002-3958-503X; Plets, David/0000-0002-8879-5076; Dehghan Firoozabadi, Ali/0000-0002-6391-6863</t>
  </si>
  <si>
    <t>1099-4300</t>
  </si>
  <si>
    <t>10.3390/e24111507</t>
  </si>
  <si>
    <t>WOS:000881226500001</t>
  </si>
  <si>
    <t>Shanavas, S; Abu Haija, M; Singh, DP; Ahamad, T; Roopan, SM; Le, QV; Acevedo, R; Anbarasan, PM</t>
  </si>
  <si>
    <t>Shanavas, Shajahan; Abu Haija, Mohammad; Singh, Dinesh Pratap; Ahamad, Tansir; Roopan, Selvaraj Mohana; Le, Quyet Van; Acevedo, Roberto; Anbarasan, Ponnusamy Munusamy</t>
  </si>
  <si>
    <t>Development of high efficient Co3O4/Bi2O3/rGO nanocomposite for an effective photocatalytic degradation of pharmaceutical molecules with improved interfacial charge transfer</t>
  </si>
  <si>
    <t>In this study, novel 3D/3D/2D-Co3O4/Bi2O3/rGO ternary nanocomposites is were successfully synthesized via hydrothermal technique assisted with self-assembly process. The prepared materials were characterized for their morphological, structural, and optical properties using various techniques such as XRD, FTIR, SEM, EDX, TEM, and UV-DRS. The compositions of 3D-Co3O4 and 3D-Bi2O3 in the ternary nanostructure were adjusted during the synthesis process to obtain a highly photoactive nanocomposite. The photocatalytic degradation ability of the ternary nanocomposite was significantly increased due to the Z-scheme photoexcited charge transfer process in the nanocomposite. The 2D rGO nanosheets in the ternary nanocomposite decreased the recombination of photoexcited charge carriers which increased the photocatalytic degradation efficiency of the nanocomposite. The photocatalytic degradation activity of 3D/3D/2D-Co3O4/Bi2O3/rGO ternary nanocomposite was studied for the degradation of tetracycline (TC) and ibuprofen (IBP) under visible light irradiation. Results showed that the Co3O4/Bi2O3/rGO ternary nanocomposite is a highly active catalyst for the degradation of TC and IBP. Trapping experiments were performed to scrutinize the predominant reactive species involved during photocatalytic degradation reactions. The ternary nanocomposite was successfully reused for five degradation cycles without remarkable loss in its catalytic activity.</t>
  </si>
  <si>
    <t>Shajahan, Shanavas/AAI-9234-2020; Roopan, Selvaraj Mohana/D-9057-2014; Anbarasan, P.M./AAH-7624-2019; Le, Quyet Van/GRS-9136-2022; Abu Haija, Mohammad/J-4116-2019; SINGH, DINESH/A-2509-2011; Ahamad, Tansir/H-8171-2015</t>
  </si>
  <si>
    <t>Roopan, Selvaraj Mohana/0000-0002-5610-7443; Acevedo, Roberto/0000-0001-6847-0285; SINGH, DINESH/0000-0002-2893-7749; Ahamad, Tansir/0000-0002-9400-5317; Abu Haija, Mohammad/0000-0002-5846-0662; Le, Quyet Van/0000-0002-4313-301X</t>
  </si>
  <si>
    <t>10.1016/j.jece.2022.107243</t>
  </si>
  <si>
    <t>WOS:000789171400004</t>
  </si>
  <si>
    <t>Santos, J; Ihle, A; Peralta, M; Domingos, C; Gouveia, ER; Ferrari, G; Werneck, A; Rodrigues, F; Marques, A</t>
  </si>
  <si>
    <t>Santos, Joao; Ihle, Andreas; Peralta, Miguel; Domingos, Christophe; Gouveia, elvio R.; Ferrari, Gerson; Werneck, Andre; Rodrigues, Filipe; Marques, Adilson</t>
  </si>
  <si>
    <t>Associations of Physical Activity and Television Viewing With Depressive Symptoms of the European Adults</t>
  </si>
  <si>
    <t>Background: While mentally passive sedentary behavior such as television viewing (TV) is often related with depressive symptoms, some research shows that physical activity (PA) may attenuate this association. Thus, this study aimed to examine the associations between TV, PA, and depressive symptoms, considering sociodemographic covariates.Methods: A sample of 29,285 adults (13,943 men; 15,342 women) with a mean age of 50.9 +/- 17.4 years (50.6 +/- 17.3 men; 51.1 +/- 17.5 women) from the European Social Survey agreed to be respondents for this study. Data for sociodemographic variables, TV watching, PA, and depressive symptoms were self-reported. Different statistical procedures were conducted to provide evidence for the association between study variables. ANCOVA was used to analyze the association between TV watching and depressive symptoms. Linear regression analysis was conducted to analyze the association between PA and depressive symptoms. General Linear Model was performed to analyze the association of TV watching and on depressive symptoms, controlling for PA.Results: European adults who responded watching more than 2 h per day showed higher scores for depressive symptoms. Higher participation in PA was negatively and significantly associated with depressive symptoms in men (beta = -0.15, 95% CI: -0.18, -0.13), and women (beta = -0.23, 95% CI: -0.26, -0.21). Men spending 1-2 h/day TV watching and engaging in PA &gt;= 5 days/week presented the lowest scores on depressive symptoms. The lowest scores on depressive symptoms was observed in women engaging 2-4 days/week in PA and spending Conclusions: More time spent in TV watching is related with increased scores on depressive symptoms. However, regular PA participation can weaken this association.</t>
  </si>
  <si>
    <t>Sarmento, Hugo/K-8684-2012; Gouveia, Elvio/F-9156-2015; Ferrari, Gerson/ABG-6635-2021; Werneck, André/N-5006-2016; Domingos, Christophe/HZH-9691-2023; Marques, Adilson/K-4529-2014; Peralta, Miguel/H-1666-2017; Ferrari, Gerson/P-1152-2014; Rodrigues, Filipe/A-8152-2019</t>
  </si>
  <si>
    <t>Marques, Adilson/0000-0001-9850-7771; Peralta, Miguel/0000-0001-6072-6012; Ferrari, Gerson/0000-0003-3177-6576; Rodrigues, Filipe/0000-0003-1327-8872; Ihle, Andreas/0000-0001-9845-5190</t>
  </si>
  <si>
    <t>10.3389/fpubh.2021.799870</t>
  </si>
  <si>
    <t>WOS:000747915700001</t>
  </si>
  <si>
    <t>Yáñez-Sepúlveda, R; Clemente-Suárez, VJ; de Souza-Lima, J; Ferrari, G; Hurtado-Almonacid, J; Zavala-Crichton, JP; Hinojosa-Torres, C; Reyes-Amigo, T; Páez-Herrera, J; Cortés-Roco, G; Valdivia-Moral, P; Olivares-Arancibia, J; Mahecha-Matsudo, S</t>
  </si>
  <si>
    <t>Yanez-Sepulveda, Rodrigo; Clemente-Suarez, Vicente Javier; de Souza-Lima, Josivaldo; Ferrari, Gerson; Hurtado-Almonacid, Juan; Zavala-Crichton, Juan Pablo; Hinojosa-Torres, Claudio; Reyes-Amigo, Tomas; Paez-Herrera, Jacqueline; Cortes-Roco, Guillermo; Valdivia-Moral, Pedro; Olivares-Arancibia, Jorge; Mahecha-Matsudo, Sandra</t>
  </si>
  <si>
    <t>Cardiorespiratory fitness and socioeconomic influences in Chilean schoolchildren: a cross-sectional study</t>
  </si>
  <si>
    <t>Objective: To compare the cardiovascular risk and physical fitness, according to type of school in a national sample of Chilean school students. Methods: A total of 7,218 students participated, who completed all the national tests of the National System for Measuring the Quality of Education, which included physical fitness and anthropometric tests. The results were compared according to the type of educational establishment and anthropometric indicators were considered. Physical fitness was measured by lower extremity strength, abdominal strength, upper extremity strength, trunk flexibility, exertional heart rate, and cardiorespiratory fitness. Body mass index, heart rate, and waist-to-height ratio were analyzed as predictors of cardiovascular risk. Results: There were differences according to the type of establishment in the predictors of cardiovascular risk (p &lt; 0.05). Differences were also found in the physical fitness tests evaluated (p &lt; 0.01). Students in private schools (PSC) and subsidized schools (SC) had lower levels of cardiovascular risk and higher levels of physical fitness than public schools (PS) and schools with delegated administration (DA). Conclusions: In conclusion, students in educational establishments with a higher socioeconomic level have lower levels of cardiovascular risk and better physical fitness than students in public establishments. The authors suggest considering specific school interventions to mitigate cardiovascular risk and improve physical fitness among this vulnerable population. To this end, future studies should analyze the characteristics of physical activity and nutritional habits in schools to determine the factors that affect the results. (c) 2024 Published by Elsevier Editora Ltda. on behalf of Sociedade Brasileira de Pediatria.</t>
  </si>
  <si>
    <t>Zavala, Juan/J-4625-2016; Valdivia-Moral, Pedro/J-7490-2013; Lima, Josivaldo/ADQ-2991-2022; Yañez, Rodrigo/HFZ-9707-2022; Cortés, Guillermo/HOF-9782-2023; Ferrari, Gerson/HHM-6173-2022; Ferrari, Gerson/P-1152-2014; Clemente-Suarez, Vicente Javier/K-7980-2014</t>
  </si>
  <si>
    <t>Cortes Roco, Guillermo/0000-0002-8033-4777; De Souza-Lima, Josivaldo/0000-0003-4372-0836; Ferrari, Gerson/0000-0003-3177-6576; Paez, Jacqueline/0000-0002-5189-8899; Hinojosa-Torres, Claudio/0000-0002-5662-7385; Zavala-Crichton, Juan Pablo/0000-0002-0727-4456; Yanez-Sepulveda, Rodrigo/0000-0002-9311-6576; Clemente-Suarez, Vicente Javier/0000-0002-2397-2801</t>
  </si>
  <si>
    <t>10.1016/j.jped.2024.06.010</t>
  </si>
  <si>
    <t>WOS:001329745500001</t>
  </si>
  <si>
    <t>Nabilpour, M; Samanipour, MH; Bragazzi, NL; Haddad, M; Herrera-Valenzuela, T; Tao, D; Baker, JS; Simenko, J</t>
  </si>
  <si>
    <t>Nabilpour, Maghsoud; Samanipour, Mohammad Hossein; Bragazzi, Nicola Luigi; Haddad, Monoem; Herrera-Valenzuela, Tomas; Tao, Dan; Baker, Julien S.; Simenko, Jozef</t>
  </si>
  <si>
    <t>An investigation into the associations between psychological skills, anaerobic fitness, and aerobic fitness in elite Iranian taekwondo athletes</t>
  </si>
  <si>
    <t>This study investigated the relationship between psychological skills and fitness levels among elite taekwondo athletes. A total of ten Iranian male elite taekwondo athletes (mean age of 20.6 &amp; PLUSMN;2 years, BMI 18.78 &amp; PLUSMN;0.62 kg/m(2), and fat percentage of 8.87 &amp; PLUSMN;1.46%) participated in the study. The Sports Emotional Intelligence Questionnaire, Sports Success Scale, Sport Mental Toughness Questionnaire, and Mindfulness Inventory for Sport were used to assess psychological factors. The Wingate test was used to determine anaerobic power, and the Bruce test to determine aerobic fitness. Descriptive statistics and Spearman rank correlation coefficients were utilised to examine any relationships between subscales. Statistically significant correlations were recorded between the evaluation of feelings (EI scale) and VO(2)peak (ml/kg/min) (r = -0.70, p = 0.0235) and between social skills (EI scale) and relative peak power (W/kg) (r = 0.84, p = 0.0026). Also, between optimism (EI scale) and VO(2)peak (ml/kg/min) (r = -0.70, p = 0.0252) and between optimism (EI scale) and HR-MAX (r = -0.75, p = 0.0123); and, finally, between control (mental toughness scale) and relative peak power (W/kg) (r = 0.67, p = 0.0360). These findings demonstrate relationships between psychological factors and the advantages of good anaerobic and aerobic capabilities. Finally, the study also demonstrated that elite taekwondo athletes have high mental performance abilities that are interrelated with anaerobic and aerobic performance.</t>
  </si>
  <si>
    <t>Herrera-Valenzuela, Tomas/L-1819-2019; Monoem, Haddad/D-4999-2014; Samanipour, Mohammad Hossein/AGS-3388-2022; Bragazzi, Nicola/G-1672-2011; Simenko, Jozef/AAE-6528-2019; Nabilpour, Magsoud/AGC-6514-2022; Tao, Dan/GXV-1330-2022</t>
  </si>
  <si>
    <t>Simenko, Jozef/0000-0002-7668-2365; TAO, Dan/0000-0002-9437-3646; Herrera-Valenzuela, Tomas/0000-0002-5219-5896</t>
  </si>
  <si>
    <t>e0288227</t>
  </si>
  <si>
    <t>10.1371/journal.pone.0288227</t>
  </si>
  <si>
    <t>WOS:001025438900023</t>
  </si>
  <si>
    <t>Oyarzún, MP; Silva, N; Cortés-Arriagada, D; Silva, JF; Ponce, IO; Flores, M; Tammeveski, K; Bélanger, D; Zitolo, A; Jaouen, F; Zagal, JH</t>
  </si>
  <si>
    <t>Paz Oyarzun, Maria; Silva, Nataly; Cortes-Arriagada, Diego; Francisco Silva, Juan; Ponce, Ingrid O.; Flores, Marcos; Tammeveski, Kaido; Belanger, Daniel; Zitolo, Andrea; Jaouen, Frederic; Zagal, Jose H.</t>
  </si>
  <si>
    <t>Enhancing the electrocatalytic activity of Fe phthalocyanines for the oxygen reduction reaction by the presence of axial ligands: Pyridine-functionalized single-walled carbon nanotubes</t>
  </si>
  <si>
    <t>We have examined the electrocatalytic activity of iron phthalocyanine (FePc) and perchlorinated iron phthalocyanine 16(Cl)FePc for the oxygen reduction reaction (ORR) in alkaline medium with the two molecules either adsorbed on the external surface of single-wall carbon nanotubes (SWCNT) or covalently anchored via an axial pyridine ligand on pyridine-functionalized single-wall carbon nanotubes (py-SWCNT). Regardless of the particular phthalocyanine type, the ORR activity is higher when the substrate is py-SWCNT rather than SWCNT. The Tafel slopes for ORR are very similar for the two Fe macrocyclic complexes attached to SWCNTs in the two different configurations, suggesting a common rate-determining step for the ORR for all four catalysts. It is also observed that, for both the SWCNT and py-SWCNT supports, the ORR activity is higher for 16(Cl)FePc than for FePc. This is attributed to the electron-withdrawing effect of the peripheral and non-peripheral chlorine atoms in the macrocyclic ligand. While FeN4 macrocycles are known to be located on the strong binding side of a volcano correlation including several MN4 species, the chlorine substituents decrease the binding energy of O-2 on the central Fe cation, thereby moving up the macrocycle catalyst towards the apex of the volcano correlation. Both the carbon surface and macrocyclic ligand effects were optimized with 16(Cl)FePc attached to py-SWCNT, which is more active than both FePc on SWCNT and FePc on py-SWCNT. Here we show that both the axial ligand and the electron withdrawing groups (-Cl) have a combined collaborative effect in increasing the catalytic activity for ORR of Fe-phthalocyanines confined on the external walls of single-wall carbon nanotubes. (C) 2021 Published by Elsevier Ltd.</t>
  </si>
  <si>
    <t>jaouen, frederic/D-7912-2019; zagal, jose/L-9648-2014; Cortés-Arriagada, Diego/J-5940-2019; Tammeveski, Kaido/H-7789-2015; Ponce, Ingrid/L-9679-2014; Zitolo, Andrea/J-2190-2019; Flores Carrasco, Marcos/E-8058-2012</t>
  </si>
  <si>
    <t>Cortes-Arriagada, Diego/0000-0002-6709-1723; Silva, Nataly/0000-0002-1830-5182; Ponce Hormazabal, Ingrid/0000-0002-3896-9576; Flores Carrasco, Marcos/0000-0002-9766-2830; Tammeveski, Kaido/0000-0002-4144-4471</t>
  </si>
  <si>
    <t>10.1016/j.electacta.2021.139263</t>
  </si>
  <si>
    <t>WOS:000711234100008</t>
  </si>
  <si>
    <t>Pino, JA; Nuñez-Vivanco, G; Hidalgo, G; Parada, MR; Khoshbouei, H; Torres, GE</t>
  </si>
  <si>
    <t>Pino, Jose A.; Nunez-Vivanco, Gabriel; Hidalgo, Gabriela; Reyes Parada, Miguel; Khoshbouei, Habibeh; Torres, Gonzalo E.</t>
  </si>
  <si>
    <t>Identification of Critical Residues in the Carboxy Terminus of the Dopamine Transporter Involved in the G Protein βγ-Induced Dopamine Efflux</t>
  </si>
  <si>
    <t>The dopamine transporter (DAT) plays a crucial role in the regulation of brain dopamine (DA) homeostasis through the re-uptake of DA back into the presynaptic terminal. In addition to re-uptake, DAT is also able to release DA through a process referred to as DAT-mediated DA efflux. This is the mechanism by which potent and highly addictive psychostimulants, such as amphetamine (AMPH) and its analogues, increase extracellular DA levels in motivational and reward areas of the brain. Recently, we discovered that G protein beta gamma subunits (G beta gamma) binds to the DAT, and that activation of G beta gamma results in DAT-mediated efflux - a similar mechanism as AMPH. Previously, we have shown that G beta gamma binds directly to a stretch of 15 residues within the intracellular carboxy terminus of DAT (residues 582-596). Additionally, a TAT peptide containing residues 582 to 596 of DAT was able to block the G beta gamma-induced DA efflux through DAT. Here, we use a combination of computational biology, mutagenesis, biochemical, and functional assays to identify the amino acid residues within the 582-596 sequence of the DAT carboxy terminus involved in the DAT-G beta gamma interaction and G beta gamma-induced DA efflux. Our in-silico protein-protein docking analysis predicted the importance of F587 and R588 residues in a network of interactions with residues in G beta gamma. In addition, we observed that mutating R588 to alanine residue resulted in a mutant DAT which exhibited attenuated DA efflux induced by G beta gamma activation. We demonstrate that R588, and to a lesser extent F5837, located within the carboxy terminus of DAT play a critical role in the DAT-G beta gamma physical interaction and promotion of DA efflux. These results identify a potential new pharmacological target for the treatment of neuropsychiatric conditions in which DAT functionality is implicated including ADHD and substance use disorder.</t>
  </si>
  <si>
    <t>Nuñez, Gabriel/IAN-2843-2023; Pino, Jose/AAF-4359-2021</t>
  </si>
  <si>
    <t>Nunez Vivanco, Gabriel/0000-0002-2858-1789; Pino, Jose/0000-0002-1542-0660</t>
  </si>
  <si>
    <t>MAR 24</t>
  </si>
  <si>
    <t>10.3389/fphar.2021.642881</t>
  </si>
  <si>
    <t>WOS:000637308500001</t>
  </si>
  <si>
    <t>Gallardo-Lacourt, B; Nishimura, Y; Kepko, L; Spanswick, EL; Gillies, DM; Knudsen, DJ; Burchill, JK; Skone, SH; Pinto, VA; Chaddock, D; Kuzub, J; Donovan, EF</t>
  </si>
  <si>
    <t>Gallardo-Lacourt, B.; Nishimura, Y.; Kepko, L.; Spanswick, E. L.; Gillies, D. M.; Knudsen, D. J.; Burchill, J. K.; Skone, S. H.; Pinto, V. A.; Chaddock, D.; Kuzub, J.; Donovan, E. F.</t>
  </si>
  <si>
    <t>Unexpected STEVE Observations at High Latitude During Quiet Geomagnetic Conditions</t>
  </si>
  <si>
    <t>Strong Thermal Emission Velocity Enhancement (STEVE), is a captivating optical phenomenon typically observed in the mid-latitude ionosphere. This paper presents an intriguing observation of a STEVE event at high-latitudes, approximately 10 degrees poleward of previously documented observations. This event was recorded in Yellowknife, Canada, by a TREx RGB imager and a citizen scientist. Swarm satellites traversed the latitude of the observation, measuring extreme westwards ion drift velocities exceeding 4 km/s. Such velocities are more typically associated with the subauroral region located at mid-latitudes, rather than at the high-latitudes reported here. Significantly, this event occurred without a substorm, which differs from previous STEVE observations. While high-latitude radars detected fast ionospheric equatorward flows, GOES satellite did not record any injections. These observations suggest that the inner magnetosphere is highly inflated. This unique case study raises new questions surrounding subauroral dynamics and the influence of magnetospheric configurations on ionospheric responses. Strong Thermal Emission Velocity Enhancement, also known as STEVE, is a fascinating nighttime optical phenomenon that takes place in the upper part of Earth's atmosphere. It can be easily recognized by its distinctive appearance as a narrow white-mauve arc that is associated with strong westward flows and is situated just equatorward of the auroral oval. Previous research has shown that STEVE events occur together with intense ionospheric flows and occur after specific disturbances in the near-Earth space environment known as substorms. They have found that substorms are important for creating the special conditions that lead to STEVE and other subauroral enhancements. In our study, we focus on a unique STEVE event that did not occur after a substorm. Furthermore, this observation took place under remarkably quiet solar wind conditions; nevertheless, strong ionospheric flows were recorded. This unusual case raises new questions about the atmospheric responses and how it is affected by the configuration of the magnetic field in space. By investigating these special circumstances, we hope to learn more about STEVE and its causes, which will help us advance our knowledge in the complex ionosphere-magnetosphere-solar wind coupled system. Non-storm and non-substorm Strong Thermal Emission Velocity Enhancement (STEVE) occurrence Strong subauroral flows during quiet geomagnetic conditions The ionospheric electrodynamics of this STEVE event differ from previous studies</t>
  </si>
  <si>
    <t>Spanswick, Emma/JDC-7880-2023; Knudsen, David/JJF-1802-2023; Burchill, Johnathan/KAZ-9414-2024; Pinto, Victor/C-9585-2011; Kepko, Larry/D-7747-2012</t>
  </si>
  <si>
    <t>Pinto, Victor/0000-0003-1210-167X; Chaddock, Darren/0009-0008-9481-1184; Kepko, Larry/0000-0002-4911-8208; Knudsen, David/0000-0001-5898-2260</t>
  </si>
  <si>
    <t>e2024GL110568</t>
  </si>
  <si>
    <t>10.1029/2024GL110568</t>
  </si>
  <si>
    <t>WOS:001328086500001</t>
  </si>
  <si>
    <t>Shaaban, SM; Lazar, M; Yoon, PH; Poedts, S; Lopez, RA</t>
  </si>
  <si>
    <t>Shaaban, Shaaban M.; Lazar, Marian; Yoon, Peter H.; Poedts, Stefaan; Lopez, Rodrigo A.</t>
  </si>
  <si>
    <t>Proton-Alpha Drift Instability of Electromagnetic Ion-Cyclotron Modes: Quasilinear Development</t>
  </si>
  <si>
    <t>PHYSICS</t>
  </si>
  <si>
    <t>The ability of space plasmas to self-regulate through mechanisms involving self-generated fluctuations is a topic of high interest. This paper presents the results of a new advanced quasilinear (QL) approach for the instability of electromagnetic ion-cyclotron modes driven by the relative alpha-proton drift observed in solar wind. For an extended parametric analysis, the present QL approach includes also the effects of intrinsic anisotropic temperatures of these populations. The enhanced fluctuations contribute to an exchange of energy between proton and alpha particles, leading to important variations of the anisotropies, the proton-alpha drift and the temperature contrast. The results presented here can help understand the observational data, in particular, those revealing the local variations associated with the properties of protons and alpha particles as well as the spatial profiles in the expanding solar wind.</t>
  </si>
  <si>
    <t>Shaaban, Shaaban/O-4663-2019; Poedts, Stefaan/AAG-1995-2019; Lazar, Marian/U-7133-2019; Lopez, Rodrigo/H-7576-2013; Lazar, Marian/C-3264-2012; Poedts, Stefaan/C-9775-2012</t>
  </si>
  <si>
    <t>Lopez, Rodrigo/0000-0003-3223-1498; Yoon, Peter/0000-0001-8134-3790; Shaaban, Shaaban Mohammed/0000-0003-0465-598X; Lazar, Marian/0000-0002-8508-5466; Poedts, Stefaan/0000-0002-1743-0651</t>
  </si>
  <si>
    <t>2624-8174</t>
  </si>
  <si>
    <t>10.3390/physics3040075</t>
  </si>
  <si>
    <t>WOS:000738534600001</t>
  </si>
  <si>
    <t>Leme, ACB; Ferrari, G; Fisberg, RM; Kovalskys, I; Gómez, G; Cortes, LY; Garcia, MCY; Herrera-Cuenca, M; Rigotti, A; Liria-Domínguez, MR; Fisberg, M</t>
  </si>
  <si>
    <t>B. Leme, Ana Carolina; Ferrari, Gerson; Fisberg, Regina M.; Kovalskys, Irina; Gomez, Georgina; Cortes, Lilia Yadira; Yepez Garcia, Martha Cecilia; Herrera-Cuenca, Marianella; Rigotti, Attilo; Liria-Dominguez, Maria Reyna; Fisberg, Mauro</t>
  </si>
  <si>
    <t>Co-Occurrence and Clustering of Sedentary Behaviors, Diet, Sugar-Sweetened Beverages, and Alcohol Intake among Adolescents and Adults: The Latin American Nutrition and Health Study (ELANS)</t>
  </si>
  <si>
    <t>Poor diet, sedentary behaviors, sugar-sweetened beverages (SSB) and alcohol intake seem to co-exist in complex ways that are not well understood. The aim of this study was to provide an understanding of the extent to which unhealthy behaviors cluster in eight Latin America countries. A secondary aim was to identify socio-demographic characteristics associated with these behaviors by country. Data from adolescents and adults from the Latin American Health and Nutrition Study was used and the prevalence of screen-time, occupational and transportation-sedentary time, socializing with friends, poor diet, SSB and alcohol intake, alone and in combination, were identified. The eight Latin America (LA) countries added to analyses were: Argentina, Brazil, Chile, Colombia, Costa Rica, Ecuador, Peru, and Venezuela. Logistic regression was used to estimate associations between &gt;= 2 behaviors clustering, socio-demographics and weight status. Among 9218 individuals, the most prevalent behaviors were transportation and occupation-sedentary time, SSB and alcohol intake. Younger, female, married/living with a partner, low and middle-income and obese individuals had higher chances for these clustering behaviors. These results provide a multi-country level of understanding of the extent to which behaviors co-occur in the LA population.</t>
  </si>
  <si>
    <t>Ferrari, Gerson/ABG-6635-2021; Cortes, Lilia/AAF-2960-2019; Gomez, Georgina/AAR-7272-2020; Fisberg, Regina/Q-6494-2019; Liria, Reyna/CAA-0410-2022; Ferrari, Gerson/P-1152-2014; Fisberg, Regina/C-4069-2012; Barco Leme, Ana Carolina/H-3619-2015; Liria-Dominguez, Reyna/F-1233-2018; Fisberg, Mauro/E-7149-2010</t>
  </si>
  <si>
    <t>Cortes, Lilia Yadira/0000-0003-2789-3219; Ferrari, Gerson/0000-0003-3177-6576; Fisberg, Regina/0000-0002-4490-9035; Barco Leme, Ana Carolina/0000-0003-2782-4301; Yepez, Martha Cecilia/0000-0003-4119-238X; Herrera-Cuenca, Marianella/0000-0003-0162-3480; Liria-Dominguez, Reyna/0000-0002-5637-1519; Fisberg, Mauro/0000-0003-2992-3215; Kovalskys, Irina/0000-0001-8481-5415; Gomez, Georgina/0000-0003-3514-2984</t>
  </si>
  <si>
    <t>10.3390/nu13061809</t>
  </si>
  <si>
    <t>WOS:000666142300001</t>
  </si>
  <si>
    <t>Lai, EV; De Marco, B; Cavecchi, Y; El Mellah, I; Cinus, M; Diez, CM; Grinberg, V; Zdziarski, AA; Uttley, P; Bachetti, M; José, J; Sala, G; Rozanska, A; Wilms, J</t>
  </si>
  <si>
    <t>Lai, E. V.; De Marco, B.; Cavecchi, Y.; El Mellah, I.; Cinus, M.; Diez, C. M.; Grinberg, V.; Zdziarski, A. A.; Uttley, P.; Bachetti, M.; Jose, J.; Sala, G.; Rozanska, A.; Wilms, J.</t>
  </si>
  <si>
    <t>Characterisation of the stellar wind in Cyg X-1 via modelling of colour-colour diagrams</t>
  </si>
  <si>
    <t>Context. Cygnus X-1 (Cyg X-1) is a high-mass X-ray binary where accretion onto the black hole (BH) is mediated by the stellar wind from the blue supergiant companion star HDE 226868. Due to its inclination, the system is a perfect laboratory to study the not yet well-understood stellar wind structure. In fact, depending on the position of the BH along the orbit, X-ray observations can probe different layers of the stellar wind. Deeper wind layers can be investigated at superior conjunction (i.e. null orbital phases). Aims. We aim to characterise the stellar wind in the Cyg X-1/HDE 226868 system, analysing one passage at superior conjunction covered by XMM-Newton during the 'Cyg X-1 Hard state Observations of a Complete Binary Orbit in X-rays' (CHOCBOX) campaign. Methods. To analyse the properties of the stellar wind, we computed colour-colour diagrams. Since X-ray absorption is energy-dependent, colour indices provide information on the parameters of the stellar wind, such as the column density, N-H,N- w, and the covering factor, f(c). We fitted colour-colour diagrams with models that include both a continuum and a stellar wind component. We used the kernel density estimation method to infer the unknown probability distribution of the data points in the colour-colour diagram, and selected the model corresponding to the highest likelihood. In order to study the temporal evolution of the wind around superior conjunction, we extracted and fitted time-resolved colour-colour diagrams. Results. We found that the model that best describes the shape of the colour-colour diagram of Cyg X-1 at superior conjunction requires the wind to be partially ionised. The shape of the colour-colour diagram strongly varies during the analysed observation, due to concurrent changes of the mean N-H,N- w and the f(c) of the wind. Our results suggest the existence of a linear scaling between the rapid variability amplitude of N-H,N- w (on timescales between 10 s and 11 ks) and its long-term variations (on timescales &gt; 11 ks). Using the inferred best-fit values, we estimated the stellar mass loss rate to be similar to 7 x 10(-6) M-circle dot yr(-1) and the clumps to have a characteristic mass of similar to 10(17) g.</t>
  </si>
  <si>
    <t>De Marco, Barbara/IUO-5279-2023; Bachetti, Matteo/AAC-6882-2022; Cavecchi, Yuri/W-9787-2019; Wilms, Jorn/C-8116-2013; De Marco, Barbara/A-6462-2019</t>
  </si>
  <si>
    <t>Cavecchi, Yuri/0000-0002-6447-3603; EL MELLAH, Ileyk/0000-0003-1075-0326; Wilms, Jorn/0000-0003-2065-5410; Zdziarski, Andrzej/0000-0002-0333-2452; De Marco, Barbara/0000-0003-2743-6632; Bachetti, Matteo/0000-0002-4576-9337; Rozanska, Agata/0000-0002-5275-4096; Diez, Camille/0000-0001-6520-4600; Lai, Eleonora Veronica/0000-0002-6421-2198</t>
  </si>
  <si>
    <t>A78</t>
  </si>
  <si>
    <t>10.1051/0004-6361/202451043</t>
  </si>
  <si>
    <t>WOS:001345759900033</t>
  </si>
  <si>
    <t>Mousazadeh, M; Alizadeh, SM; Frontistis, Z; Kabdasli, I; Niaragh, EK; Al Qodah, Z; Naghdali, Z; Mahmoud, AE; Sandoval, MA; Butler, E; Emamjomeh, MM</t>
  </si>
  <si>
    <t>Mousazadeh, Milad; Alizadeh, S. M.; Frontistis, Zacharias; Kabdasli, Isik; Karamati Niaragh, Elnaz; Al Qodah, Zakaria; Naghdali, Zohreh; Mahmoud, Alaa El Din; Sandoval, Miguel A.; Butler, Erick; Emamjomeh, Mohammad Mahdi</t>
  </si>
  <si>
    <t>Electrocoagulation as a Promising Defluoridation Technology from Water: A Review of State of the Art of Removal Mechanisms and Performance Trends</t>
  </si>
  <si>
    <t>Fluoride ions present in drinking water are beneficial to human health when at proper concentration levels (0.5-1.5 mg L-1), but an excess intake of fluoride (&gt;1.5 mg L-1) may pose several health problems. In this context, reducing high fluoride concentrations in water is a major worldwide challenge. The World Health Organization has recommended setting a permissible limit of 1.5 mg L-1. The application of electrocoagulation (EC) processes has received widespread and increasing attention as a promising treatment technology and a competitive treatment for fluoride control. EC technology has been favourably applied due to its economic effectiveness, environmental versatility, amenability of automation, and low sludge production. This review provides more detailed information on fluoride removal from water by the EC process, including operating parameters, removal mechanisms, energy consumption, and operating costs. Additionally, it also focuses attention on future trends related to improve defluoridation efficiency.</t>
  </si>
  <si>
    <t>Naghdali, Zohreh/AAH-5510-2019; Sandoval, Miguel A/JCF-1838-2023; Al-Qodah, Zakaria/E-6132-2017; Mousazadehgavan, Milad/KTI-6446-2024; Niaragh, Elnaz/AAJ-3924-2020; Kabdaşlı, Işık/AAD-9127-2020; Mahmoud, Dr. Alaa El Din/O-2518-2014; Frontistis, Zacharias/K-1320-2018; Emamjomeh, Mohammad Mahdi/I-7710-2015; Mousazadehgavan, Milad/W-3041-2018; Sandoval, Miguel/F-3645-2019</t>
  </si>
  <si>
    <t>Mahmoud, Dr. Alaa El Din/0000-0001-6530-9816; Karamati Niaragh, Elnaz/0000-0002-4050-4815; Frontistis, Zacharias/0000-0002-1367-7729; Kabdasli, Isik/0000-0002-7872-2463; Emamjomeh, Mohammad Mahdi/0000-0003-2772-6832; Mousazadehgavan, Milad/0000-0003-1464-3915; Sandoval, Miguel/0000-0001-9659-5827</t>
  </si>
  <si>
    <t>10.3390/w13050656</t>
  </si>
  <si>
    <t>WOS:000628587000001</t>
  </si>
  <si>
    <t>Baust, A; Hoffmann, E; Haeberlein, M; Schwarz, MJ; Eder, P; Goetz, J; Wulschner, F; Xie, E; Zhong, L; Quijandría, F; Zueco, D; Ripoll, JJG; García-Alvarez, L; Romero, G; Solano, E; Fedorov, KG; Menzel, EP; Deppe, F; Marx, A; Gross, R</t>
  </si>
  <si>
    <t>Baust, A.; Hoffmann, E.; Haeberlein, M.; Schwarz, M. J.; Eder, P.; Goetz, J.; Wulschner, F.; Xie, E.; Zhong, L.; Quijandria, F.; Zueco, D.; Garcia Ripoll, J. -J.; Garcia-Alvarez, L.; Romero, G.; Solano, E.; Fedorov, K. G.; Menzel, E. P.; Deppe, F.; Marx, A.; Gross, R.</t>
  </si>
  <si>
    <t>Ultrastrong coupling in two-resonator circuit QED</t>
  </si>
  <si>
    <t>We report on ultrastrong coupling between a superconducting flux qubit and a resonant mode of a system comprised of two superconducting coplanar stripline resonators coupled galvanically to the qubit. With a coupling strength as high as 17.5% of the mode frequency, exceeding that of previous circuit quantum electrodynamics experiments, we observe a pronounced Bloch-Siegert shift. The spectroscopic response of our multimode system reveals a clear breakdown of the Jaynes-Cummings approximation. In contrast to earlier experiments, the high coupling strength is achieved without making use of an additional inductance provided by a Josephson junction.</t>
  </si>
  <si>
    <t>Deppe, Frank/E-5007-2013; Solano, Enrique/C-2895-2017; Garcia-Alvarez, Laura/T-3744-2019; Romero, Guillermo/C-8245-2009; Gross, Rudolf/A-6227-2012; Goetz, Jan/J-1244-2017; Garcia-Ripoll, Juan Jose/B-8302-2008; Zueco, David/H-1209-2011</t>
  </si>
  <si>
    <t>Garcia-Alvarez, Laura/0000-0002-3367-8083; Deppe, Frank/0000-0002-1855-4672; Romero, Guillermo/0000-0003-2917-7814; Gross, Rudolf/0000-0003-4524-7552; SOLANO VILLANUEVA, ENRIQUE LEONIDAS/0000-0002-8602-1181; Goetz, Jan/0000-0003-2327-6336; Marx, Achim/0000-0002-5886-6742; Garcia-Ripoll, Juan Jose/0000-0001-8993-4624; Zueco, David/0000-0003-4478-1948; Fedorov, Kirill/0000-0002-3243-4343</t>
  </si>
  <si>
    <t>10.1103/PhysRevB.93.214501</t>
  </si>
  <si>
    <t>WOS:000376992700003</t>
  </si>
  <si>
    <t>Contreras, CB; Herrera-Cuenca, M; Kovalskys, I; Gómez, G; Rigotti, A; Cortés, LY; García, MY; Liria-Domínguez, MR; Fisberg, M; Marques, A; Guzmán-Habinger, J; Ferrari, G</t>
  </si>
  <si>
    <t>Behrmann Contreras, Cristobal; Herrera-Cuenca, Marianella; Kovalskys, Irina; Gomez, Georgina; Rigotti, Attilio; Yadira Cortes, Lilia; Yepez Garcia, Martha; Liria-Dominguez, Maria Reyna; Fisberg, Mauro; Marques, Adilson; Guzman-Habinger, Juan; Ferrari, Gerson</t>
  </si>
  <si>
    <t>Perceived Urban Environment Attributes And Device-measured Physical Activity In Latin America: An Eight-national Study</t>
  </si>
  <si>
    <t>Gomez, Georgina/AAR-7272-2020; Cortes, Lilia/AAF-2960-2019; Liria, Reyna/CAA-0410-2022; Ferrari, Gerson/HHM-6173-2022; Marques, Adilson/K-4529-2014; Ferrari, Gerson/P-1152-2014</t>
  </si>
  <si>
    <t>WOS:000888056602067</t>
  </si>
  <si>
    <t>Ramirez-Campillo, R; Moran, J; Chaabene, H; Granacher, U; Behm, DG; Garcia-Hermoso, A; Izquierdo, M</t>
  </si>
  <si>
    <t>Ramirez-Campillo, Rodrigo; Moran, Jason; Chaabene, Helmi; Granacher, Urs; Behm, David G.; Garcia-Hermoso, Antonio; Izquierdo, Mikel</t>
  </si>
  <si>
    <t>Methodological characteristics and future directions for plyometric jump training research: A scoping review update</t>
  </si>
  <si>
    <t>The aim of this scoping review was a) to update a previous review on the main methodological characteristics and shortcomings in the plyometric jump training (PJT) literature, and b) to recommend, in light of the identified methodological gaps, future research perspectives. We searched four electronic databases. From 6128 potentially relevant articles, 420 were considered eligible for inclusion. As an update of a previous review, this represents an increase of similar to 200 articles, illustrating that this field of research is growing fast. However, the relative quality or shortcomings were similar when compared to the preceding scoping review. In the current article, the main identified shortcomings were an insufficient number of studies conducted with females, individual sports, and high-level athletes (similar to 22%, similar to 7%, and similar to 14% of overall studies, respectively); insufficient description of training prescription (similar to 54% of studies); and studies missing an active/passive control group and a randomized group allocation process (similar to 37% and similar to 24% of overall studies, respectively). Furthermore, PJT was often combined with other training methods and added to the participants' regular training routines (similar to 50% and similar to 35% of overall studies, respectively). The main outcomes of this scoping review urge researchers to conduct PJT studies of high methodological quality (eg, randomized controlled trials) to get trustworthy evidence-based knowledge. In addition, owing to the limited research conducted with females, individual sports, and high-level athletes, more studies are needed to substantiate the available findings. Finally, the identification of cohort-specific PJT dose-response relations which elicit optimal training effects still needs to be identified, particularly in the long term.</t>
  </si>
  <si>
    <t>García-Hermoso, Antonio/ADU-2591-2022; Chaabene, Helmi/I-7317-2019; Moran, Jason/AAJ-1208-2020; Ramirez-Campillo, Rodrigo/M-1258-2016; Behm, David/I-6509-2019; Garcia-Hermoso, Antonio/P-1857-2017; Izquierdo, Mikel/A-4894-2010; Granacher, Urs/T-9900-2017</t>
  </si>
  <si>
    <t>Garcia-Hermoso, Antonio/0000-0002-1397-7182; Izquierdo, Mikel/0000-0002-1506-4272; Behm, David/0000-0002-9406-6056; Moran, Jason/0000-0001-7452-6855; Ramirez-Campillo, Rodrigo/0000-0003-2035-3279; Granacher, Urs/0000-0002-7095-813X; Chaabene, Helmi/0000-0001-7812-7931</t>
  </si>
  <si>
    <t>10.1111/sms.13633</t>
  </si>
  <si>
    <t>WOS:000515309500001</t>
  </si>
  <si>
    <t>Fittipaldi, S; Armony, JL; García, AM; Migeot, J; Cadaveira, M; Ibáñez, A; Baez, S</t>
  </si>
  <si>
    <t>Fittipaldi, Sol; Armony, Jorge L. L.; Garcia, Adolfo M. M.; Migeot, Joaquin; Cadaveira, Matias; Ibanez, Agustin; Baez, Sandra</t>
  </si>
  <si>
    <t>Emotional descriptions increase accidental harm punishment and its cortico-limbic signatures during moral judgment in autism</t>
  </si>
  <si>
    <t>Individuals with autism spectrum disorder (ASD) present difficulties in integrating mental state information in complex moral tasks. Yet, ASD research has not examined whether this process is influenced by emotions, let alone while capturing its neural bases. We investigated how language-induced emotions modulate intent-based moral judgment in ASD. In a fMRI task, 30 adults with ASD and 27 neurotypical controls read vignettes whose protagonists commit harm either accidentally or intentionally, and then decided how much punishment the protagonist deserved. Emotional content was manipulated across scenarios through the use of graphic language (designed to trigger arousing negative responses) vs. plain (just-the-facts, emotionless) language. Off-line functional connectivity correlates of task performance were also analyzed. In ASD, emotional (graphic) descriptions amplified punishment ratings of accidental harms, associated with increased activity in fronto-temporo-limbic, precentral, and postcentral/supramarginal regions (critical for emotional and empathic processes), and reduced connectivity among the orbitofrontal cortex and the angular gyrus (involved in mentalizing). Language manipulation did not influence intentional harm processing in ASD. In conclusion, in arousing and ambiguous social situations that lack intentionality clues (i.e. graphic accidental harm scenarios), individuals with ASD would misuse their emotional responses as the main source of information to guide their moral decisions. Conversely, in face of explicit harmful intentions, they would be able to compensate their socioemotional alterations and assign punishment through non-emotional pathways. Despite limitations, such as the small sample size and low ecological validity of the task, results of the present study proved reliable and have relevant theoretical and translational implications.</t>
  </si>
  <si>
    <t>Ibanez, Agustin/H-7976-2015; García, Adolfo/E-7150-2017; Baez, Sandra/ABC-7150-2020</t>
  </si>
  <si>
    <t>Migeot, Joaquin/0000-0003-0647-5632</t>
  </si>
  <si>
    <t>10.1038/s41598-023-27709-x</t>
  </si>
  <si>
    <t>WOS:000985232500074</t>
  </si>
  <si>
    <t>Cada, AK; Pavlin, MR; Castillo, JP; Tong, AB; Larsen, KP; Ren, XF; Yokom, AL; Tsai, FC; Shiah, J; Bassereau, PM; Bustamante, CJ; Hurley, JH</t>
  </si>
  <si>
    <t>Cada, A. King; Pavlin, Mark R.; Castillo, Juan P.; Tong, Alexander B.; Larsen, Kevin P.; Ren, Xuefeng; Yokom, Adam L.; Tsai, Feng-Ching; Shiah, Jamie, V; Bassereau, Patricia M.; Bustamante, Carlos J.; Hurley, James H.</t>
  </si>
  <si>
    <t>Friction-driven membrane scission by the human ESCRT-III proteins CHMP1B and IST1</t>
  </si>
  <si>
    <t>The endosomal sorting complexes required for transport (ESCRT) system is an ancient and ubiquitous membrane scission machinery that catalyzes the budding and scission of membranes. ESCRT-mediated scission events, exemplified by those involved in the budding of HIV-1, are usually directed away from the cytosol (reverse topology), but they can also be directed toward the cytosol (normal topology). The ESCRT-III subunits CHMP1B and IST1 can coat and constrict positively curved membrane tubes, suggesting that these subunits could catalyze normal topology membrane severing. CHMP1B and IST1 bind and recruit the microtubule-severing AAA+ ATPase spastin, a close relative of VPS4, suggesting that spastin could have a VPS4-like role in normal-topology membrane scission. Here, we reconstituted the process in vitro using membrane nanotubes pulled from giant unilamellar vesicles using an optical trap in order to determine whether CHMP1B and IST1 are capable of membrane severing on their own or in concert with VPS4 or spastin. CHMP1B and IST1 copolymerize on membrane nanotubes, forming stable scaffolds that constrict the tubes, but do not, on their own, lead to scission. However, CHMP1B-IST1 scaffolded tubes were severed when an additional extensional force was applied, consistent with a friction-driven scission mechanism. We found that spastin colocalized with CHMP1B-enriched sites but did not disassemble the CHMP1B-IST1 coat from the membrane. VPS4 resolubilized CHMP1B and IST1 without leading to scission. These observations show that the CHMP1B-IST1 ESCRT-III combination is capable of severing membranes by a friction-driven mechanism that is independent of VPS4 and spastin.</t>
  </si>
  <si>
    <t>Hussain, Sabah/ABC-5315-2021</t>
  </si>
  <si>
    <t>Yokom, Adam/0000-0002-3746-7961; Tsai, Feng-Ching/0000-0002-6869-5254; Larsen, Kevin/0000-0002-3464-2023; Ren, Xuefeng/0000-0002-4822-4316; Cada, A. King/0000-0002-9284-0941</t>
  </si>
  <si>
    <t>JUL 19</t>
  </si>
  <si>
    <t>e2204536119</t>
  </si>
  <si>
    <t>10.1073/pnas.2204536119</t>
  </si>
  <si>
    <t>WOS:000853870200003</t>
  </si>
  <si>
    <t>Ramirez-Campillo, R; García-Pinillos, F; Nikolaidis, PT; Clemente, FM; Gentil, P; García-Hermoso, A</t>
  </si>
  <si>
    <t>Ramirez-Campillo, Rodrigo; Garcia-Pinillos, Felipe; Nikolaidis, Pantelis T.; Clemente, Filipe Manuel; Gentil, Paulo; Garcia-Hermoso, Antonio</t>
  </si>
  <si>
    <t>Body composition adaptations to lower-body plyometric training: a systematic review and meta-analysis</t>
  </si>
  <si>
    <t>BIOLOGY OF SPORT</t>
  </si>
  <si>
    <t>The aim of this meta-analysis was to explore the effects of plyometric jump training (PJT) on body composition parameters among males. Relevant articles were searched in the electronic databases PubMed, MEDLINE, WOS, and SCOPUS, using the key words ballistic, complex, explosive, force-velocity, plyometric, stretch-shortening cycle, jump, training, and body composition. We included randomized controlled trials (RCTs) that investigating the effects of PJT in healthy male's body composition (e.g., muscle mass; body fat), irrespective of age. From database searching 21 RCTs were included (separate experimental groups = 28; pooled number of participants = 594). Compared to control, PJT produced significant increases in total leg muscle volume (small ES = 0.55, p = 0.009), thigh muscle volume (small ES = 0.38, p = 0.043), thigh girth (large ES = 1.78, p = 0.011), calf girth (large ES = 1.89, p = 0.022), and muscle pennation angle (small ES = 0.53, p = 0.040). However, we did not find significant difference between PJT and control for muscle cross-sectional area, body fat, and skinfold thickness. Heterogeneity remained low-to-moderate for most analyses, and using the Egger's test publication bias was not found in any of the analyses (p = 0.300-0.900). No injuries were reported among the included studies. PJT seems to be an effective and safe mode of exercise for increasing leg muscle volume, thigh muscle volume, thigh and calf girth, and muscle pennation angle. Therefore, PJT may be effective to improve muscle size and architecture, with potential implications in several clinical and sport-related contexts.</t>
  </si>
  <si>
    <t>García-Hermoso, Antonio/ADU-2591-2022; Ramirez-Campillo, Rodrigo/M-1258-2016; Gentil, Paulo/L-7968-2016; Garcia-Hermoso, Antonio/P-1857-2017; Nikolaidis, Pantelis/K-8664-2017; Garcia-Pinillos, Felipe/L-5703-2019; Clemente, Filipe Manuel/G-2625-2012</t>
  </si>
  <si>
    <t>Gentil, Paulo/0000-0003-2459-4977; Ramirez-Campillo, Rodrigo/0000-0003-2035-3279; Garcia-Hermoso, Antonio/0000-0002-1397-7182; Nikolaidis, Pantelis/0000-0001-8030-7122; Garcia-Pinillos, Felipe/0000-0002-7518-8234; Clemente, Filipe Manuel/0000-0001-9813-2842</t>
  </si>
  <si>
    <t>0860-021X</t>
  </si>
  <si>
    <t>2083-1862</t>
  </si>
  <si>
    <t>10.5114/biolsport.2022.104916</t>
  </si>
  <si>
    <t>WOS:000759195200006</t>
  </si>
  <si>
    <t>Delgado-Floody, P; Caamaño-Navarrete, F; Del-Cuerpo, I; Vargas, CA; Martinez-Salazar, C; Valdés-Badilla, P; Herrera-Valenzuela, T; Hernandez-Martinez, J; Núnez-Espinoza, C; Guzmán-Munoz, E; Alvarez, C</t>
  </si>
  <si>
    <t>Delgado-Floody, Pedro; Caamano-Navarrete, Felipe; Del-Cuerpo, Indya; Vargas, Claudia A.; Martinez-Salazar, Cristian; Valdes-Badilla, Pablo; Herrera-Valenzuela, Tomas; Hernandez-Martinez, Jordan; Nunez-Espinoza, Cristian; Guzman-Munoz, Eduardo; Alvarez, Cristian</t>
  </si>
  <si>
    <t>Sixteen weeks of concurrent training do not increase the magnitude of the post-exercise hypotensive effect in hypercholesterolemic morbid</t>
  </si>
  <si>
    <t>MEDICINA DELLO SPORT</t>
  </si>
  <si>
    <t>BACKGROUND: It is widely known that concurrent exercise of moderate -intensity continuous plus resistance training (CTMICT+RT) decreases blood pressure in hypertensive and multiple patients with other comorbidities such as obesity, however, there is little information about the changes in the 'magnitude' of the post -exercise hypotension effect (PEH) observed from an 'acute' to after long-term 'chronic' exercise adaptations. To determine both acute and chronic effects of 16 weeks of exercise using CTMICT+RT in the magnitude of the systolic (SBP)/diastolic (DBP) blood pressure response of hypercholesterolemic patients with morbid obesity. Secondarily, to determine the CTMICT+RT effects on fasting plasma glucose, lipid profile and body composition. METHODS: A quasi -experimental study was designed where morbid obesity patients were assigned to normal cholesterol (Ncho, N.=19) and the hypercholesterolemia (Hcho, N.=13) groups according to their total cholesterol levels. The main outcomes were SBP/DBP blood pressure, and secondary outcomes; fasting plasma glucose, lipid profile outcomes, and body composition (body fat, lean mass, skeletal muscle mass) variables. RESULTS: Training -induced effects analyses revealed that 16 weeks of CTMICT+RT promoted significant chronic reductions in SBP in the Hcho group from pre- to post -10 min (135 vs. 119 mmHg, P=0.004). There were significant reductions in the Ncho group in Tc (188.0 vs. 117.4 mg/dL, P=0.050), and similarly, in triglycerides from before to after the CTMICT+RT intervention (188.0 vs. 117.4 mg/dL, P=0.050). The magnitude of the PEH detected in SBP in the Hcho group (-6 mmHg) was not observed and decreased post -16 weeks of CTMICT+RT (-4 mmHg, P=0.535). CONCLUSIONS: Sixteen weeks of CTMICT+RT promote acute and chronic SBP decreases in hypercholesterolemic morbid obesity patients, being the acute 'magnitude' of SBP/DBP response not increased after CTMICT+RT.</t>
  </si>
  <si>
    <t>ALVAREZ, CRISTIAN/S-8150-2019; Herrera-Valenzuela, Tomas/L-1819-2019; Hernandez-Martinez, Jordan/AAK-5115-2020; Núñez-Espinosa, Cristian/ADF-6181-2022; del-Cuerpo, Indya/ADJ-8937-2022</t>
  </si>
  <si>
    <t>Guzman-Munoz, Eduardo/0000-0001-7001-9004; Alvarez, Cristian/0000-0003-4783-9981; Nunez Espinosa, Cristian Andres/0000-0002-9896-7062</t>
  </si>
  <si>
    <t>0025-7826</t>
  </si>
  <si>
    <t>1827-1863</t>
  </si>
  <si>
    <t>10.23736/S0025-7826.24.04396-5</t>
  </si>
  <si>
    <t>WOS:001229402100010</t>
  </si>
  <si>
    <t>Schaeffer, M; Huepe, D; Hansen-Schirra, S; Hofmann, S; Muñoz, E; Kogan, B; Herrera, E; Ibáñez, A; García, AM</t>
  </si>
  <si>
    <t>Schaeffer, Moritz; Huepe, David; Hansen-Schirra, Silvia; Hofmann, Sascha; Munoz, Edinson; Kogan, Boris; Herrera, Eduar; Ibanez, Agustin; Garcia, Adolfo M.</t>
  </si>
  <si>
    <t>The Translation and Interpreting Competence Questionnaire: an online tool for research on translators and interpreters</t>
  </si>
  <si>
    <t>PERSPECTIVES-STUDIES IN TRANSLATION THEORY AND PRACTICE</t>
  </si>
  <si>
    <t>Despite the growth of research on translation and interpreting, measures of competence in such activities typically stem from informal, non-validated instruments. This scenario casts doubts on the ensuing findings and hinders comparability across studies. To address the issue, we introduce the Translation and Interpreting Competence Questionnaire (TICQ), an online tool for collecting relevant quantitative and qualitative data. The instrument comprises three sections. Section A covers demographic data and aspects of language history and multilingual abilities. Sections B and C focus on translation and interpreting competence, respectively, via self-rating scales on modality-specific skills and questions about procedural, declarative, and otherwise professional factors. A stringent validation procedure based on data from 284 participants (including item reliability estimations, principal component analyses, and multigroup discriminant function analyses) revealed that the TICQ can robustly classify subjects in terms of their actual status (laymen, students, professionals) in the translation and interpreting communities -with an accuracy of roughly 80%. Importantly, the TICQ is available in three languages, it is fully customizable, and it can be administered online, locally or in pen-and-paper format. Briefly, this user-friendly tool provides comprehensive information for empirical investigations in the field, offering unprecedented opportunities to enhance sample selection, between-study comparisons, and meta-analytic research.</t>
  </si>
  <si>
    <t>Kogan, Boris/HPD-5180-2023; Schaeffer, Moritz/AAJ-1659-2021; Herrera, Eduar/IXD-5515-2023; Ibanez, Agustin/H-7976-2015; Garcia, Adolfo/E-7150-2017</t>
  </si>
  <si>
    <t>Munoz, Edinson/0000-0001-9949-1230; Ibanez, Agustin/0000-0001-6758-5101; Herrera, Eduar/0000-0001-9409-245X; Kogan, Boris/0000-0002-5844-6203; Huepe, David/0000-0001-8351-5314; Garcia, Adolfo/0000-0002-6936-0114</t>
  </si>
  <si>
    <t>0907-676X</t>
  </si>
  <si>
    <t>1747-6623</t>
  </si>
  <si>
    <t>JAN 2</t>
  </si>
  <si>
    <t>10.1080/0907676X.2019.1629468</t>
  </si>
  <si>
    <t>JUN 2019</t>
  </si>
  <si>
    <t>WOS:000472966400001</t>
  </si>
  <si>
    <t>Pérez, OD; Aitken, MRF; Zhukovsky, P; Soto, FA; Urcelay, GP; Dickinson, A</t>
  </si>
  <si>
    <t>Perez, Omar D.; Aitken, Michael R. F.; Zhukovsky, Peter; Soto, Fabian A.; Urcelay, Gonzalo P.; Dickinson, Anthony</t>
  </si>
  <si>
    <t>Human instrumental performance in ratio and interval contingencies: A challenge for associative theory</t>
  </si>
  <si>
    <t>QUARTERLY JOURNAL OF EXPERIMENTAL PSYCHOLOGY</t>
  </si>
  <si>
    <t>Associative learning theories regard the probability of reinforcement as the critical factor determining responding. However, the role of this factor in instrumental conditioning is not completely clear. In fact, free-operant experiments show that participants respond at a higher rate on variable ratio than on variable interval schedules even though the reinforcement probability is matched between the schedules. This difference has been attributed to the differential reinforcement of long inter-response times (IRTs) by interval schedules, which acts to slow responding. In the present study, we used a novel experimental design to investigate human responding under random ratio (RR) and regulated probability interval (RPI) schedules, a type of interval schedule that sets a reinforcement probability independently of the IRT duration. Participants responded on each type of schedule before a final choice test in which they distributed responding between two schedules similar to those experienced during training. Although response rates did not differ during training, the participants responded at a lower rate on the RPI schedule than on the matched RR schedule during the choice test. This preference cannot be attributed to a higher probability of reinforcement for long IRTs and questions the idea that similar associative processes underlie classical and instrumental conditioning.</t>
  </si>
  <si>
    <t>Soto, Fabian/0000-0002-1001-679X; Urcelay, Gonzalo/0000-0003-4717-0181; Aitken Deakin, Michael/0000-0001-9763-8999; Perez, Omar David/0000-0002-4168-5435</t>
  </si>
  <si>
    <t>1747-0218</t>
  </si>
  <si>
    <t>1747-0226</t>
  </si>
  <si>
    <t>10.1080/17470218.2016.1265996</t>
  </si>
  <si>
    <t>WOS:000456681900017</t>
  </si>
  <si>
    <t>Cardenas, R; Molinas, M; Bialasiewicz, JT</t>
  </si>
  <si>
    <t>Cardenas, Roberto; Molinas, Marta; Bialasiewicz, Jan T.</t>
  </si>
  <si>
    <t>Introduction to the Special Section on Control and Grid Integration of Wind Energy Systems-Part I</t>
  </si>
  <si>
    <t>IEEE TRANSACTIONS ON INDUSTRIAL ELECTRONICS</t>
  </si>
  <si>
    <t>Molinas, Marta/M-2874-2019; Cardenas, Roberto/C-6395-2011</t>
  </si>
  <si>
    <t>Molinas Cabrera, Maria Marta/0000-0002-8791-0917; Cardenas, Roberto/0000-0003-3853-7703</t>
  </si>
  <si>
    <t>0278-0046</t>
  </si>
  <si>
    <t>10.1109/TIE.2012.2234318</t>
  </si>
  <si>
    <t>WOS:000314975400022</t>
  </si>
  <si>
    <t>Lazar, M; Lopez, RA; Shaaban, SM; Poedts, S; Yoon, PH; Fichtner, H</t>
  </si>
  <si>
    <t>Lazar, Marian; Lopez, R. A.; Shaaban, Shaaban Mohammed; Poedts, Stefaan; Yoon, Peter Haesung; Fichtner, Horst</t>
  </si>
  <si>
    <t>Temperature Anisotropy Instabilities Stimulated by the Solar Wind Suprathermal Populations</t>
  </si>
  <si>
    <t>This review paper compiles recent results obtained by the present group of authors describing the effects of suprathermal populations present in space plasmas (up to a few keVs) on temperature anisotropy instabilities. Of particular interest are the electromagnetic cyclotron and firehose excitations, which play a major role in limiting temperature anisotropy, resulting, for instance, from the adiabatic expansion of the solar wind. Relying on a rigorous modeling and interpretation of the observed velocity distributions, both theoretical models and numerical simulations indicate a systematic stimulation of these excitations in the presence of suprathermal populations of electrons or protons. Moreover, the enhanced fluctuations react back on particles, and determine a faster and deeper relaxation of their anisotropy. The present comparative analysis suggests that previous studies, considering only quasi-thermal low-energy populations, may have significantly underestimated these excitations and their implications in various applications in space plasmas.</t>
  </si>
  <si>
    <t>Lazar, Marian/U-7133-2019; Poedts, Stefaan/AAG-1995-2019; Shaaban, Shaaban/O-4663-2019; Lopez, Rodrigo/H-7576-2013; Poedts, Stefaan/C-9775-2012; Lazar, Marian/C-3264-2012</t>
  </si>
  <si>
    <t>Lopez, Rodrigo/0000-0003-3223-1498; Poedts, Stefaan/0000-0002-1743-0651; Lazar, Marian/0000-0002-8508-5466; Fichtner, Horst/0000-0002-9151-5127</t>
  </si>
  <si>
    <t>JAN 19</t>
  </si>
  <si>
    <t>10.3389/fspas.2021.777559</t>
  </si>
  <si>
    <t>WOS:000749786900001</t>
  </si>
  <si>
    <t>Datar, A; Ameeramja, J; Bhat, A; Srivastava, R; Mishra, A; Bernal, R; Prost, J; Callan-Jones, A; Pullarkat, PA</t>
  </si>
  <si>
    <t>Datar, Anagha; Ameeramja, Jaishabanu; Bhat, Alka; Srivastava, Roli; Mishra, Ashish; Bernal, Roberto; Prost, Jacques; Callan-Jones, Andrew; Pullarkat, Pramod A.</t>
  </si>
  <si>
    <t>The Roles of Microtubules and Membrane Tension in Axonal Beading, Retraction, and Atrophy</t>
  </si>
  <si>
    <t>BIOPHYSICAL JOURNAL</t>
  </si>
  <si>
    <t>Axonal beading, or the formation of a series of swellings along the axon, and retraction are commonly observed shape transformations that precede axonal atrophy in Alzheimer's disease, Parkinson's disease, and other neurodegenerative conditions. The mechanisms driving these morphological transformations are poorly understood. Here, we report controlled experiments that can induce either beading or retraction and follow the time evolution of these responses. By making quantitative analysis of the shape modes under different conditions, measurement of membrane tension, and using theoretical considerations, we argue that membrane tension is the main driving force that pushes cytosol out of the axon when microtubules are degraded, causing axonal thinning. Under pharmacological perturbation, atrophy is always retrograde, and this is set by a gradient in the microtubule stability. The nature of microtubule depolymerization dictates the type of shape transformation, vis-a-vis beading or retraction. Elucidating the mechanisms of these shape transformations may facilitate development of strategies to prevent or arrest axonal atrophy due to neurodegenerative conditions.</t>
  </si>
  <si>
    <t>PullarKat, Pramod/J-8789-2012; Bernal, Roberto/E-5275-2011</t>
  </si>
  <si>
    <t>Bernal, Roberto/0000-0002-4295-270X</t>
  </si>
  <si>
    <t>0006-3495</t>
  </si>
  <si>
    <t>1542-0086</t>
  </si>
  <si>
    <t>SEP 3</t>
  </si>
  <si>
    <t>10.1016/j.bpj.2019.07.046</t>
  </si>
  <si>
    <t>WOS:000484365900010</t>
  </si>
  <si>
    <t>Díaz-Celis, C; Risca, VI; Hurtado, F; Polka, JK; Hansen, SD; Maturana, D; Lagos, R; Mullins, RD; Monasterio, O</t>
  </si>
  <si>
    <t>Diaz-Celis, Cesar; Risca, Viviana I.; Hurtado, Felipe; Polka, Jessica K.; Hansen, Scott D.; Maturana, Daniel; Lagos, Rosalba; Mullins, R. Dyche; Monasterio, Octavio</t>
  </si>
  <si>
    <t>Bacterial Tubulins A and B Exhibit Polarized Growth, Mixed-Polarity Bundling, and Destabilization by GTP Hydrolysis</t>
  </si>
  <si>
    <t>JOURNAL OF BACTERIOLOGY</t>
  </si>
  <si>
    <t>Bacteria of the genus Prosthecobacter express homologs of eukaryotic alpha- and beta-tubulin, called BtubA and BtubB (BtubA/B), that have been observed to assemble into filaments in the presence of GTP. BtubA/B polymers are proposed to be composed in vitro by two to six protofilaments in contrast to that in vivo, where they have been reported to form 5-protofilament tubes named bacterial microtubules (bMTs). The btubAB genes likely entered the Prosthecobacter lineage via horizontal gene transfer and may be derived from an early ancestor of the modern eukaryotic microtubule (MT). Previous biochemical studies revealed that BtubA/B polymerization is reversible and that BtubA/B folding does not require chaperones. To better understand BtubA/B filament behavior and gain insight into the evolution of microtubule dynamics, we characterized in vitro BtubA/B assembly using a combination of polymerization kinetics assays and microscopy. Like eukaryotic microtubules, BtubA/B filaments exhibit polarized growth with different assembly rates at each end. GTP hydrolysis stimulated by BtubA/B polymerization drives a stochastic mechanism of filament disassembly that occurs via polymer breakage and/or fast continuous depolymerization. We also observed treadmilling (continuous addition and loss of subunits at opposite ends) of BtubA/B filament fragments. Unlike MTs, polymerization of BtubA/B requires KCl, which reduces the critical concentration for BtubA/B assembly and induces it to form stable mixed-orientation bundles in the absence of any additional BtubA/B-binding proteins. The complex dynamics that we observe in stabilized and unstabilized BtubA/B filaments may reflect common properties of an ancestral eukaryotic tubulin polymer. IMPORTANCE Microtubules are polymers within all eukaryotic cells that perform critical functions; they segregate chromosomes, organize intracellular transport, and support the flagella. These functions rely on the remarkable range of tunable dynamic behaviors of microtubules. Bacterial tubulin A and B (BtubA/B) are evolutionarily related proteins that form polymers. They are proposed to be evolved from the ancestral eukaryotic tubulin, a missing link in microtubule evolution. Using microscopy and biochemical approaches to characterize BtubA/B assembly in vitro, we observed that they exhibit complex and structurally polarized dynamic behavior like eukaryotic microtubules but differ in how they self-associate into bundles and how this bundling affects their stability. Our results demonstrate the diversity of mechanisms through which tubulin homologs promote filament dynamics and monomer turnover.</t>
  </si>
  <si>
    <t>Diaz-Celis, Cesar/AAO-9091-2021</t>
  </si>
  <si>
    <t>Polka, Jessica/0000-0001-6610-9293</t>
  </si>
  <si>
    <t>0021-9193</t>
  </si>
  <si>
    <t>1098-5530</t>
  </si>
  <si>
    <t>e00211</t>
  </si>
  <si>
    <t>10.1128/JB.00211-17</t>
  </si>
  <si>
    <t>WOS:000409460800004</t>
  </si>
  <si>
    <t>Tewari, D; Samoila, O; Gocan, D; Mocan, A; Moldovan, C; Devkota, HP; Atanasov, AG; Zengin, G; Echeverría, J; Vodnar, D; Szabo, B; Crisan, G</t>
  </si>
  <si>
    <t>Tewari, Devesh; Samoila, Ovidiu; Gocan, Diana; Mocan, Andrei; Moldovan, Cadmiel; Devkota, Hari Prasad; Atanasov, Atanas G.; Zengin, Gokhan; Echeverria, Javier; Vodnar, Dan; Szabo, Bianca; Crisan, Gianina</t>
  </si>
  <si>
    <t>Medicinal Plants and Natural Products Used in Cataract Management</t>
  </si>
  <si>
    <t>Cataract is the leading reason of blindness worldwide and is defined by the presence of any lens opacities or loss of transparency. The most common symptoms of cataract are impaired vision, decreased contrast sensitivity, color disturbance, and glare. Oxidative stress is among the main mechanisms involved in the development of age-related cataract. Surgery through phacoemulsification and intraocular lens implantation is the most effective method for cataract treatment, however, there are chances of serious complications and irreversible loss of vision associated with the surgery. Natural compounds consisting of antioxidant or anti-inflammatory secondary metabolites can serve as potential leads for anticataract agents. In this review, we tried to document medicinal plants and plant-based natural products used for cataract treatment worldwide, which are gathered from available ethnopharmacological/ethnobotanical data. We have extensively explored a number of recognized databases like Scifinder, PubMed, Science Direct, Google Scholar, and Scopus by using keywords and phrases such as cataract, blindness, traditional medicine, ethnopharmacology, ethnobotany, herbs, medicinal plants, or other relevant terms, and summarized the plants/phytoconstituents that are evaluated in different models of cataract and also tabulated 44 plants that are traditionally used in cataract in various folklore medical practices. Moreover, we also categorized the plants according to scientific studies carried out in different cataract models with their mechanisms of action.</t>
  </si>
  <si>
    <t>Echeverría, Javier/AAK-3323-2020; Vodnar, Dan/K-5634-2019; Crisan, Gianina/AAM-3334-2020; Zengin, Gokhan/GLS-8806-2022; Tewari, Devesh/P-9954-2019; Moldovan, Cadmiel/P-8678-2018; Mocan, Andrei/AAT-8274-2021; SZABO, BIANCA/I-7698-2019; Zengin, Gokhan/K-9393-2015; Samoila, Ovidiu/AAA-5179-2020; Atanasov, Atanas/C-5535-2013; Devkota, Hari Prasad/H-9939-2019</t>
  </si>
  <si>
    <t>Zengin, Gokhan/0000-0001-6548-7823; Vodnar, Dan C./0000-0001-5407-8071; Tewari, Dr. Devesh/0000-0002-5125-3791; Echeverria, Javier/0000-0002-1688-968X; Samoila, Ovidiu/0000-0001-7357-0512; Szabo, Bianca/0000-0002-2605-8513; Atanasov, Atanas/0000-0003-2545-0967; Devkota, Hari Prasad/0000-0002-0509-1621</t>
  </si>
  <si>
    <t>10.3389/fphar.2019.00466</t>
  </si>
  <si>
    <t>WOS:000471874500001</t>
  </si>
  <si>
    <t>Pitcheri, R; Mooni, SP; Harikrishnan, L; Raghav, J; Roy, S; Maaouni, N; Radhalayam, D; Alothman, AA; Alharbi, AF; Al-Zahrani, FAM; Nunna, GP; Ko, TJ</t>
  </si>
  <si>
    <t>Pitcheri, Rosaiah; Mooni, Siva Prasad; Harikrishnan, Leelavathi; Raghav, Jyoti; Roy, Soumyendu; Maaouni, N.; Radhalayam, Dhanalakshmi; Alothman, Asma A.; Alharbi, Amira F.; Al-Zahrani, Fatimah Ali M.; Nunna, Guru Prakash; Ko, Tae Jo</t>
  </si>
  <si>
    <t>Novel S-scheme (β-Cu2V2O7/Ni/Pg-C3N4 heterojunction photocatalyst for sunlight-induced degradation of RhB</t>
  </si>
  <si>
    <t>A novel S-scheme beta-Cu2V2O7/Ni/Pg-C3N4 nanocomposite photocatalyst has been advantageously established by propelling beta-Cu2V2O7 nanoparticles (NPs) on the top layer of porous graphitic carbon nitride (Pg-C3N4) nanosheets (NSs) using a facile co-precipitation approach. Implementing photoelectrochemical and physicochemical techniques, the crystallinity, purity, optical quality, morphology, chemical composition, and charge separation efficiency of the produced samples were examined. The outcomes indicate that metallic Ni and beta-Cu2V2O7 NPs were perfectly encapsulated onto the Pg-C3N4 NSs and well-matched band structures between both semiconductors facilitate the creation of an S-scheme charge transfer path. The fabricated pristine and beta-Cu2V2O7/Ni/Pg-C3N4 composite samples were utilized as a catalyst for the removal of rhodamine B (RhB) dye under sunlight irradiation. The beta-Cu2V2O7/Ni/Pg-C3N4 nanocomposite exhibits exceptional activity within 60 min of radiation exposure (RhB- 98.56%), whereas beta-Cu2V2O7 and Pg-C3N4 show reduced activity (RhB-34.4% and 45.68%). The favourable impact of S-scheme nanocomposite establishment boosted photocatalytic behavior using the intrinsic electric field among Pg-C3N4 NSs and beta-Cu2V2O7 and surface plasmon resonance (SPR) effect of metallic Nickel (Ni) NPs for delivering e(-) and h(+) pairs and prolonging the life of charge carriers. According to radical scavenging experiments center dot O-2 is the primary reactive species followed by (OH)-O-center dot radicals. The produced nanocomposite has the potential to be employed in large-scale photocatalytic water treatment, as evidenced by the photocatalyst's excellent efficiency and reusability after five consecutive experiments.</t>
  </si>
  <si>
    <t>Nunna, Guru Prakash/AFO-6502-2022; HARIKRISHNAN, LEELAVATHI/AHC-1783-2022; Roy, Soumyendu/N-4586-2014; MOONI, SIVA/ABI-5261-2020; Alothman, Asma/AAE-9577-2019; Alzahrani, Fatimah/AAX-7912-2020</t>
  </si>
  <si>
    <t>A.M. Al-Zahrani, Fatimah/0000-0002-7413-9115; Harikrishnan, Dr. Leelavathi/0009-0004-6022-7589</t>
  </si>
  <si>
    <t>10.1016/j.surfin.2024.104950</t>
  </si>
  <si>
    <t>WOS:001300123600001</t>
  </si>
  <si>
    <t>Chakrawarthi, V; Dharmar, B; Avudaiappan, S; Amran, M; Flores, ES; Alam, MA; Fediuk, R; Vatin, NI; Rashid, RSM</t>
  </si>
  <si>
    <t>Chakrawarthi, Vijayaprabha; Dharmar, Brindha; Avudaiappan, Siva; Amran, Mugahed; Flores, Erick Saavedra; Alam, Mohammad Ayaz; Fediuk, Roman; Vatin, Nikolai Ivanovich; Rashid, Raizal S. M.</t>
  </si>
  <si>
    <t>Destructive and Non-Destructive Testing of the Performance of Copper Slag Fiber-Reinforced Concrete</t>
  </si>
  <si>
    <t>Concrete technology is adopted worldwide in construction due to its effectiveness, performance, and price benefits. Subsequently, it needs to be an eco-friendly, sustainable, and energy-efficient material. This is achieved by replacing or adding energy-efficient concrete materials from industries, such as ground granulated blast furnace slag, steel slag, fly ash, bottom ash, rice husk ash, etc. Likewise, copper slag is a waste material produced as molten slag from the copper industry, which can be used in concrete production. Copper slag can perform roles similar to pozzolans in the hydration process. This paper extends the comparative study of copper slag concrete with polypropylene fiber (PPF) subjected to destructive and non-destructive testing. Under destructive testing, compressive strength of concrete cubes, compressive strength of mortar cubes, splitting tensile tests on cylindrical specimens, and flexural tests on plain cement concrete were conducted and analysed. Ultrasonic pulse velocity and rebound hammer tests were performed on the samples as per IS13311-Part 1-1992 for non-destructive testing. The 100% replacement of copper slag exhibited a very high workability of 105 mm, while the addition of 0.8% PPF decreased the flowability of the concrete. Hence, the workability of concrete decreases as the fiber content increases. The density of the concrete was found to be increased in the range of 5% to 10%. Furthermore, it was found that, for all volume fractions of fiber, there was no reduction in compressive strength of up to 80% of copper slag concrete compared to control concrete. The 40% copper slag concrete was the best mix proportion for increasing compressive strength. However, for cement mortar applications, 80% copper slag is recommended. The findings of non-destructive testing show that, except for 100% copper slag, all mixes were of good quality compared to other mixes. Linear relationships were developed to predict compressive strength from UPV and rebound hammer test values. This relationship shows better prediction among dependent and independent values. It is concluded that copper slag has a pozzolanic composition, and is compatible with PPF, resulting in good mechanical characteristics.</t>
  </si>
  <si>
    <t>Avudaiappan, Siva/AAV-7579-2021; dharmar, brindha/AAQ-5813-2020; Vatin, Nikolai Ivanovich/O-6995-2019; amran, mugahed/AAW-4821-2020; Fediuk, Roman/N-6730-2017; Alam, Mohammad Ayaz/B-7511-2009</t>
  </si>
  <si>
    <t>Fediuk, Roman/0000-0002-2279-1240; Alam, Mohammad Ayaz/0000-0002-3189-8744; Muhammad Rashid, Raizal Saifulnaz/0000-0002-6941-870X; Vatin, Nikolai Ivanovich/0000-0002-1196-8004</t>
  </si>
  <si>
    <t>10.3390/ma15134536</t>
  </si>
  <si>
    <t>WOS:000823924400001</t>
  </si>
  <si>
    <t>Nogueira, PH; Lazzoni, C; Zurlo, A; Bhowmik, T; Donoso-Oliva, C; Desidera, S; Milli, J; Pérez, S; Delorme, P; Fernadez, A; Langlois, M; Petrus, S; Cabrera-Vives, G; Chauvin, G</t>
  </si>
  <si>
    <t>Nogueira, P. H.; Lazzoni, C.; Zurlo, A.; Bhowmik, T.; Donoso-Oliva, C.; Desidera, S.; Milli, J.; Perez, S.; Delorme, P.; Fernadez, A.; Langlois, M.; Petrus, S.; Cabrera-Vives, G.; Chauvin, G.</t>
  </si>
  <si>
    <t>Astrometric and photometric characterization of η Tel B combining two decades of observations</t>
  </si>
  <si>
    <t>Context. eta Tel is an 18 Myr system composed of a 2.09 M-circle dot A-type star with an M7-M8 brown dwarf companion, eta Tel B. The two objects have a projected separation of 4 ''.2 (similar to 208 au). This system has been targeted by high-contrast imaging campaigns for over 20 yr, facilitating its orbital and photometric characterization. The companion, eta Tel B, both bright and on a wide orbit, is an ideal candidate for a detailed examination of its position and the characterization of its atmosphere. Aims. To explore the orbital parameters of eta Tel B, measure its contrast, and investigate its close surroundings, we analyzed three new SPHERE/IRDIS coronagraphic observations. Our objectives are to investigate the possibility of a circumplanetary disk or a close companion around eta Tel B, and characterize its orbit by combining this new data set with archival data acquired in the past two decades. Methods. The IRDIS data are reduced with state-of-the-art algorithms to achieve a contrast with respect to the star of 1.0 x 10(-5) at the location of the companion. Using the NEGative Fake Companion technique (NEGFC), we measure the astrometric positions and flux of eta Tel B for the three IRDIS epochs. Together with the measurements presented in the literature, the baseline of the astrometric follow-up is 19 yr. Results. We calculate a contrast for the companion of 6.8 magnitudes in the H band. The separation and position angle measured are 4 ''.218 and 167.3 degrees, respectively. The astrometric positions of the companions are calculated with an uncertainty of 4 milliarc-seconds (mas) in separation and 0.2 degrees in position angle. These are the smallest astrometrical uncertainties of eta Tel B obtained so far. The orbital parameters are estimated using the Orvara code, including all available epochs. The orbital analysis is performed taking into account the Gaia-HIPPARCOS acceleration of the system. Suppressing its point spread function (PSF), we have produced contrast curves centered on the brown dwarf in order to constrain our detection capabilities for a disk or companions around it. Conclusions. After considering only orbits that could not disrupt the outer debris disk around eta Tel A, our orbital analysis reveals a low eccentric orbit (e similar to 0.34) with an inclination of 81.9 degrees (nearly edge-on) and a semi-major axis of 218 au. Furthermore, we determine the mass of eta Tel B to be 48 M-Jup, consistent with previous calculations from the literature based on evolutionary models. Finally, we do not detect any significant residual pointing to the presence of a satellite or a disk around the brown dwarf. The retrieved detection limits allow us to discard massive objects around eta Tel B with masses down to 1.6 M-Jup at a separation of 33 au.</t>
  </si>
  <si>
    <t>Cabrera-Vives, Guillermo/AHA-0641-2022; Pérez, Sebastián/AAS-5857-2020; Zurlo, Alice/Q-5011-2019; FERNANDEZ, ANA/G-2719-2010</t>
  </si>
  <si>
    <t>Bhowmik, Trisha/0000-0002-4314-9070</t>
  </si>
  <si>
    <t>JUL 23</t>
  </si>
  <si>
    <t>A301</t>
  </si>
  <si>
    <t>10.1051/0004-6361/202449222</t>
  </si>
  <si>
    <t>WOS:001275047000005</t>
  </si>
  <si>
    <t>Peña-Jorquera, H; Cid-Jofré, V; Landaeta-Díaz, L; Petermann-Rocha, F; Martorell, M; Zbinden-Foncea, H; Ferrari, G; Jorquera-Aguilera, C; Cristi-Montero, C</t>
  </si>
  <si>
    <t>Pena-Jorquera, Humberto; Cid-Jofre, Valeska; Landaeta-Diaz, Leslie; Petermann-Rocha, Fanny; Martorell, Miquel; Zbinden-Foncea, Hermann; Ferrari, Gerson; Jorquera-Aguilera, Carlos; Cristi-Montero, Carlos</t>
  </si>
  <si>
    <t>Plant-Based Nutrition: Exploring Health Benefits for Atherosclerosis, Chronic Diseases, and Metabolic Syndrome-A Comprehensive Review</t>
  </si>
  <si>
    <t>Atherosclerosis, chronic non-communicable diseases, and metabolic syndrome are highly interconnected and collectively contribute to global health concerns that reduce life expectancy and quality of life. These conditions arise from multiple risk factors, including inflammation, insulin resistance, impaired blood lipid profile, endothelial dysfunction, and increased cardiovascular risk. Adopting a plant-based diet has gained popularity as a viable alternative to promote health and mitigate the incidence of, and risk factors associated with, these three health conditions. Understanding the potential benefits of a plant-based diet for human health is crucial, particularly in the face of the rising prevalence of chronic diseases like diabetes, hypertension, dyslipidemia, atherosclerosis, and cancer. Thus, this review focused on the plausible advantages of consuming a type of food pattern for the prevention and/or treatment of chronic diseases, emphasizing the dietary aspects that contribute to these conditions and the evidence supporting the benefits of a plant-based diet for human health. To facilitate a more in-depth analysis, we present separate evidence for each of these three concepts, acknowledging their intrinsic connection while providing a specific focus on each one. This review underscores the potential of a plant-based diet to target the underlying causes of these chronic diseases and enhance health outcomes for individuals and populations.</t>
  </si>
  <si>
    <t>Petermann-Rocha, Fanny/AAK-1230-2021; Cristi-Montero, Carlos/AAE-4945-2020; Landaeta-Díaz, Leslie/ABG-6079-2021; Cid-Jofré, Valeska/ABE-3761-2021; Ferrari, Gerson/HHM-6173-2022; Zbinden, hermann/KWT-6869-2024; Martorell, Miquel/H-8490-2014; Ferrari, Gerson/P-1152-2014</t>
  </si>
  <si>
    <t>Martorell, Miquel/0000-0003-3183-7623; Zbinden-Foncea, Hermann/0000-0002-9643-1037; Petermann Rocha, Fanny/0000-0002-4384-4962; Ferrari, Gerson/0000-0003-3177-6576; Cristi-Montero, Carlos/0000-0002-9940-507X; Landaeta-Diaz, Leslie/0000-0001-8970-1150</t>
  </si>
  <si>
    <t>10.3390/nu15143244</t>
  </si>
  <si>
    <t>WOS:001036608900001</t>
  </si>
  <si>
    <t>Aguilar-Farias, N; Miranda-Marquez, S; Sadarangani, KP; Martino-Fuentealba, P; Cristi-Montero, C; Carcamo-Oyarzun, J; Delgado-Floody, P; Chandia-Poblete, D; Mella-Garcia, C; Rodriguez-Rodriguez, F; Von Oetinger, A; Balboa-Castillo, T; Peña, S; Cuadrado, C; Bedregal, P; Celis-Morales, C; García-Hermoso, A; Cortinez-O'Ryan, A</t>
  </si>
  <si>
    <t>Aguilar-Farias, Nicolas; Miranda-Marquez, Sebastian; Sadarangani, Kabir P.; Martino-Fuentealba, Pia; Cristi-Montero, Carlos; Carcamo-Oyarzun, Jaime; Delgado-Floody, Pedro; Chandia-Poblete, Damian; Mella-Garcia, Camila; Rodriguez-Rodriguez, Fernando; Von Oetinger, Astrid; Balboa-Castillo, Teresa; Pena, Sebastian; Cuadrado, Cristobal; Bedregal, Paula; Celis-Morales, Carlos; Garcia-Hermoso, Antonio; Cortinez-O'Ryan, Andrea</t>
  </si>
  <si>
    <t>Results from Chile's 2018 Report Card on Physical Activity for Children and Youth</t>
  </si>
  <si>
    <t>Aguilar-Farias, Nicolas/V-2742-2018; Cristi-Montero, Carlos/AAE-4945-2020; Cuadrado, Cristobal/Q-3705-2019; García-Hermoso, Antonio/ADU-2591-2022; Miranda-Marquez, Sebastian/ABD-7429-2021; C, Andrea/ISB-2574-2023; Garcia-Hermoso, Antonio/P-1857-2017; Cuadrado, Cristobal/J-2572-2014; Carcamo-Oyarzun, Jaime/N-2362-2015; Delgado-Floody, Pedro/D-9779-2019</t>
  </si>
  <si>
    <t>Cortinez-O'Ryan, Andrea/0000-0001-6207-3377; Garcia-Hermoso, Antonio/0000-0002-1397-7182; Cuadrado, Cristobal/0000-0002-0174-5958; Carcamo-Oyarzun, Jaime/0000-0002-7536-8788; Balboa-Castillo, Teresa/0000-0002-8568-7539; Pena, Sebastian/0000-0002-2555-4179; von Oetinger, Astrid/0000-0001-9949-9507; Cristi-Montero, Carlos/0000-0002-9940-507X; Delgado-Floody, Pedro/0000-0001-9952-993X</t>
  </si>
  <si>
    <t>S331</t>
  </si>
  <si>
    <t>S332</t>
  </si>
  <si>
    <t>10.1123/jpah.2018-0553</t>
  </si>
  <si>
    <t>WOS:000451242900011</t>
  </si>
  <si>
    <t>da Cunha, PL; Fittipaldi, S; Campo, CG; Kauffman, M; Rodríguez-Quiroga, S; Yacovino, DA; Ibáñez, A; Birba, A; García, AM</t>
  </si>
  <si>
    <t>Lopes da Cunha, Pamela; Fittipaldi, Sol; Gonzalez Campo, Cecilia; Kauffman, Marcelo; Rodriguez-Quiroga, Sergio; Andres Yacovino, Dario; Ibanez, Agustin; Birba, Agustina; Garcia, Adolfo M.</t>
  </si>
  <si>
    <t>Social concepts and the cerebellum: behavioural and functional connectivity signatures in cerebellar ataxic patients</t>
  </si>
  <si>
    <t>Neurocognitive research on social concepts underscores their reliance on fronto-temporo-limbic regions mediating broad socio-cognitive skills. Yet, the field has neglected another structure increasingly implicated in social cognition: the cerebellum. The present exploratory study examines this link combining a novel naturalistic text paradigm, a relevant atrophy model and functional magnetic resonance imaging. Fifteen cerebellar ataxia (CA) patients with focal cerebellar atrophy and 29 matched controls listened to a social text (highlighting interpersonal events) as well as a non-social text (focused on a single person's actions), and answered comprehension questionnaires. We compared behavioural outcomes between groups and examined their association with cerebellar connectivity. CA patients showed deficits in social text comprehension and normal scores in the non-social text. Also, social text outcomes in controls selectively correlated with connectivity between the cerebellum and key regions subserving multi-modal semantics and social cognition, including the superior and medial temporal gyri, the temporal pole and the insula. Conversely, brain-behaviour associations involving the cerebellum were abolished in the patients. Thus, cerebellar structures and connections seem involved in processing social concepts evoked by naturalistic discourse. Such findings invite new theoretical and translational developments integrating social neuroscience with embodied semantics. This article is part of the theme issue 'Concepts in interaction: social engagement and inner experiences'.</t>
  </si>
  <si>
    <t>García, Adolfo/E-7150-2017; Yacovino, Dario/AAM-1571-2020; Birba, Agustina/AFR-3037-2022; Ibanez, Agustin/H-7976-2015</t>
  </si>
  <si>
    <t>Ibanez, Agustin/0000-0001-6758-5101; Lopes da Cunha, Pamela/0000-0002-0067-0800; Birba, Agustina/0000-0001-5998-6634</t>
  </si>
  <si>
    <t>FEB 13</t>
  </si>
  <si>
    <t>10.1098/rstb.2021.0364</t>
  </si>
  <si>
    <t>WOS:000927173500013</t>
  </si>
  <si>
    <t>El Bitar, Z; Pino, F; Candela, C; Ros, D; Pavía, J; Rannou, FR; Ruibal, A; Aguiar, P</t>
  </si>
  <si>
    <t>El Bitar, Z.; Pino, F.; Candela, C.; Ros, D.; Pavia, J.; Rannou, F. R.; Ruibal, A.; Aguiar, P.</t>
  </si>
  <si>
    <t>The performance of a hybrid analytical-Monte Carlo system response matrix in pinhole SPECT reconstruction</t>
  </si>
  <si>
    <t>PHYSICS IN MEDICINE AND BIOLOGY</t>
  </si>
  <si>
    <t>It is well-known that in pinhole SPECT (single-photon-emission computed tomography), iterative reconstruction methods including accurate estimations of the system response matrix can lead to submillimeter spatial resolution. There are two different methods for obtaining the system response matrix: those that model the system analytically using an approach including an experimental characterization of the detector response, and those that make use of Monte Carlo simulations. Methods based on analytical approaches are faster and handle the statistical noise better than those based on Monte Carlo simulations, but they require tedious experimental measurements of the detector response. One suggested approach for avoiding an experimental characterization, circumventing the problem of statistical noise introduced by Monte Carlo simulations, is to perform an analytical computation of the system response matrix combined with a Monte Carlo characterization of the detector response. Our findings showed that this approach can achieve high spatial resolution similar to that obtained when the system response matrix computation includes an experimental characterization. Furthermore, we have shown that using simulated detector responses has the advantage of yielding a precise estimate of the shift between the point of entry of the photon beam into the detector and the point of interaction inside the detector. Considering this, it was possible to slightly improve the spatial resolution in the edge of the field of view.</t>
  </si>
  <si>
    <t>Aguiar Fernández, Pablo/ABD-9169-2022; Rannou, Fernando/G-5749-2019; Candela-Juan, Cristian/F-7752-2016</t>
  </si>
  <si>
    <t>Pino Sorroche, Francisco/0009-0000-2111-235X; Rannou, Fernando/0000-0002-3244-1893; Aguiar, Pablo/0000-0002-7322-2195; Candela-Juan, Cristian/0000-0003-4891-3784; Ros, Domenec/0000-0003-3131-9017</t>
  </si>
  <si>
    <t>0031-9155</t>
  </si>
  <si>
    <t>1361-6560</t>
  </si>
  <si>
    <t>DEC 21</t>
  </si>
  <si>
    <t>10.1088/0031-9155/59/24/7573</t>
  </si>
  <si>
    <t>WOS:000209559600002</t>
  </si>
  <si>
    <t>Salvatierra-Calderón, V; Romero-Pérez, EM; Lemes, V; Sadarangani, KP; Reyes-Molina, D; Delgado-Floody, P; Soto-Sánchez, J; Ferrari, G; Brand, C; Cristi-Montero, C</t>
  </si>
  <si>
    <t>Salvatierra-Calderon, Vanessa; Romero-Perez, Ena Monserrat; Lemes, Vanilson; Sadarangani, Kabir P.; Reyes-Molina, Daniel; Delgado-Floody, Pedro; Soto-Sanchez, Johana; Ferrari, Gerson; Brand, Caroline; Cristi-Montero, Carlos</t>
  </si>
  <si>
    <t>The multiple mediation impact of adolescents' physical fitness and cognitive perceptions on their objective measures - The Cogni-Action Project</t>
  </si>
  <si>
    <t>PSYCHOLOGY OF SPORT AND EXERCISE</t>
  </si>
  <si>
    <t>Objective: To establish whether physical fitness and cognitive self-perceptions act as mediators in the link between global fitness and cognitive performance measured objectively in adolescents. We also compared differences across sex. Methods: A total of 1296 adolescents (50 % girls) from grades 5 to 8 (ages 10-14) participated in this crosssectional study. The ALPHA-fitness test battery assessed physical fitness, comprising cardiorespiratory, speedagility, and muscular fitness components. We used the 1-5-point International Fitness Scale for physical fitness self-perception, and the 1-10 scale for cognitive performance self-perception. Objective cognitive performance was assessed using a neurocognitive battery consisting of eight tasks. Using principal component analysis, these tasks were grouped into three domains: attention, working memory, and problem solving. We examined three serial mediation models adjusted for sex, standardized body mass index, maturation, and school vulnerability index. Results: Physical fitness and cognitive self-perceptions mediated the effects on attention (B = .0027, CI = .0011 to .0047), memory (B = .0025; CI = .0003 to .0055 and B = .0035; CI = .0009 to .0063), and problem-solving (B = -.0137; CI = -.0231 to -.0052 and B = .0072; CI = .0043 to .0106). By sex, boys showed mediation in all domains, while girls only showed mediation in problem-solving. Conclusions: Adolescents' perceptions play a crucial and positive mediating role in linking objective measures of physical fitness to cognitive performance outcomes, particularly when self-perceptions of physical fitness and cognition are considered together. Therefore, educating families and school/health environments about the importance of adolescent perceptions, while fostering self-awareness and reinforcing their capabilities, is essential.</t>
  </si>
  <si>
    <t>ROMERO PEREZ, ENA MONSERRAT/ABE-2220-2021; Cristi-Montero, Carlos/AAE-4945-2020; Soto-Sánchez, Johana/KCJ-6898-2024; Lemes, Vanilson/A-4505-2019; Ferrari, Gerson/HHM-6173-2022; Brand, Caroline/ABH-5856-2020; Reyes-Molina, Daniel/IXN-2328-2023</t>
  </si>
  <si>
    <t>Reyes-Molina, Daniel/0000-0003-0068-2438</t>
  </si>
  <si>
    <t>1469-0292</t>
  </si>
  <si>
    <t>1878-5476</t>
  </si>
  <si>
    <t>10.1016/j.psychsport.2024.102721</t>
  </si>
  <si>
    <t>WOS:001309767800001</t>
  </si>
  <si>
    <t>Reddy, GVA; Kumar, KN; Sattar, SA; Devaraja, C; Radhalayam, D; Doreswamy, BH; Naik, R; Munirathnam, K; Prakash, NG; Ansari, MA; Ko, TJ</t>
  </si>
  <si>
    <t>Reddy, G. V. Ashok; Kumar, Kilari Naveen; Sattar, Sheik Abdul; Devaraja, C.; Radhalayam, Dhanalakshmi; Doreswamy, B. H.; Naik, Ramachandra; Munirathnam, K.; Prakash, Nunna Guru; Ansari, Mushtaq Ahmad; Ko, Tae Jo</t>
  </si>
  <si>
    <t>Electrochromic Properties of RF-Sputtered WO3 Films: An Impact of Post-annealing and Room Temperatures for Smart Window Applications</t>
  </si>
  <si>
    <t>Tungsten oxide (WO3) thin films were deposited on glass substrates of Corning glass (CG) and fluorine-doped tin oxide (FTO) using an RF magnetron sputtering process. The effects of varying the annealing temperature on structural, surface morphology, optical properties, and electrochromic (EC) are examined using X-ray diffraction, Fourier-transform infrared spectroscopy (FTIR), SEM, Raman spectroscopy, UV-Vis spectroscopy, and cyclic voltammetry. WO3 thin films annealed at 573 K and 673 K were shown by SEM analysis to have fewer cracks after being found to crack more at 773 K. According to the XRD investigation, the WO3 thin films annealed at 573 K, 673 K, and 773 K had a crystalline nature. At 773 K, when the coloring efficiency (CE) was determined to be 40.45 cm(2)/s, the diffusion coefficient was found to be the lowest (1.7 x 10(-14) cm(2)/C). At 573 K, the coloring efficiency (CE) was measured to be 52.38 cm(2)/C, and at 673 K, it was 39.33 cm(2)/C. It has been discovered that post-annealing significantly affects color efficiency, which is important in electrochromic (EC) applications.</t>
  </si>
  <si>
    <t>Nunna, Guru Prakash/AFO-6502-2022; Doreswamy, B/S-8762-2019; Ansari, Mushtaq/GQH-7773-2022; Naik, Ramachandra/A-3582-2013; Sattar, Abdul/AAB-6821-2020; Chaithanya Kumar, K N/L-8257-2016; Munirathnam, K/AAY-9388-2021</t>
  </si>
  <si>
    <t>10.1007/s13538-024-01606-8</t>
  </si>
  <si>
    <t>WOS:001314720000001</t>
  </si>
  <si>
    <t>Amoruso, L; Moguilner, S; Castillo, EM; Kleineschay, T; Geng, S; Ibáñez, A; García, AM</t>
  </si>
  <si>
    <t>Amoruso, Lucia; Moguilner, Sebastian; Castillo, Eduardo M.; Kleineschay, Tara; Geng, Shuang; Ibanez, Agustin; Garcia, Adolfo M.</t>
  </si>
  <si>
    <t>Neural dynamics of social verb processing: an MEG study</t>
  </si>
  <si>
    <t>SOCIAL COGNITIVE AND AFFECTIVE NEUROSCIENCE</t>
  </si>
  <si>
    <t>Human vocabularies include specific words to communicate interpersonal behaviors, a core linguistic function mainly afforded by social verbs (SVs). This skill has been proposed to engage dedicated systems subserving social knowledge. Yet, neurocognitive evidence is scarce, and no study has examined spectro-temporal and spatial signatures of SV access. Here, we combined magnetoencephalography and time-resolved decoding methods to characterize the neural dynamics underpinning SVs, relative to nonsocial verbs (nSVs), via a lexical decision task. Time-frequency analysis revealed stronger beta (20 Hz) power decreases for SVs in right fronto-temporal sensors at early stages. Time-resolved decoding showed that beta oscillations significantly discriminated SVs and nSVs between 180 and 230 ms. Sources of this effect were traced to the right anterior superior temporal gyrus (a key hub underpinning social conceptual knowledge) as well as parietal, pre/motor and prefrontal cortices supporting nonverbal social cognition. Finally, representational similarity analyses showed that the observed fronto-temporal neural patterns were specifically predicted by verbs' socialness, as opposed to other psycholinguistic dimensions such as sensorimotor content, emotional valence, arousal, and concreteness. Overall, verbal conveyance of socialness seems to involve distinct neurolinguistic patterns, partly shared by more general sociocognitive and lexicosemantic processes.</t>
  </si>
  <si>
    <t>Geng, Silver/IWV-2442-2023; García, Adolfo/E-7150-2017; Amoruso, Lucía/P-6949-2019; Ibanez, Agustin/H-7976-2015</t>
  </si>
  <si>
    <t>Moguilner, Sebastian/0000-0003-1731-8325; Ibanez, Agustin/0000-0001-6758-5101; Amoruso, Lucia/0000-0003-4696-2187</t>
  </si>
  <si>
    <t>1749-5016</t>
  </si>
  <si>
    <t>1749-5024</t>
  </si>
  <si>
    <t>JAN 6</t>
  </si>
  <si>
    <t>nsae066</t>
  </si>
  <si>
    <t>10.1093/scan/nsae066</t>
  </si>
  <si>
    <t>WOS:001392030500001</t>
  </si>
  <si>
    <t>Vaishnav, ED; de Boer, CG; Molinet, J; Yassour, M; Fan, L; Adiconis, X; Thompson, DA; Levin, JZ; Cubillos, FA; Regev, A</t>
  </si>
  <si>
    <t>Vaishnav, Eeshit Dhaval; de Boer, Carl G.; Molinet, Jennifer; Yassour, Moran; Fan, Lin; Adiconis, Xian; Thompson, Dawn A.; Levin, Joshua Z.; Cubillos, Francisco A.; Regev, Aviv</t>
  </si>
  <si>
    <t>The evolution, evolvability and engineering of gene regulatory DNA</t>
  </si>
  <si>
    <t>NATURE</t>
  </si>
  <si>
    <t>Mutations in non-coding regulatory DNA sequences can alter gene expression, organismal phenotype and fitness(1,3). Constructing complete fitness landscapes, in which DNA sequences are mapped to fitness, is a long-standing goal in biology, but has remained elusive because it is challenging to generalize reliably to vast sequence spaces(4-6). Here we build sequence-to-expression models that capture fitness landscapes and usethem to decipher principles of regulatory evolution. Using millions of randomly sampled promoter DNA sequences and their measured expression levels in the yeast Saccharomyces cerevisiae, we learn deep neural network models that generalize with excellent prediction performance, and enable sequence design for expression engineering. Using our models, we study expression divergence under genetic drift and strong-selection weak-mutation regimes to find that regulatory evolution is rapid and subject to diminishing returns epistasis; that conflicting expression objectives in different environments constrain expression adaptation; and that stabilizing selection on gene expression leadsto the moderation of regulatory complexity. We present an approach for using such modelsto detect signatures of selection on expression from natural variation in regulatory sequences and use it to discover an instance of convergent regulatory evolution. We assess mutational robustness, finding that regulatory mutation effect sizes follow a power law, characterize regulatory evolvability, visualize promoter fitness landscapes, discover evolvability archetypes and illustrate the mutational robustness of natural regulatory sequence populations. Our work provides a general framework for designing regulatory sequences and addressing fundamental questions in regulatory evolution.</t>
  </si>
  <si>
    <t>Molinet, Jennifer/AAI-3636-2020; Yassour, Moran/ABE-7415-2020; Vaishnav, Eeshit Dhaval/HJA-9659-2022; Cubillos, Francisco/MIT-2389-2025; Levin, Joshua/ACH-8217-2022; Cubillos, Francisco/G-5195-2019</t>
  </si>
  <si>
    <t>Vaishnav, Eeshit Dhaval/0000-0003-3720-8051; Molinet, Jennifer/0000-0001-9716-4455; Levin, Joshua/0000-0002-0170-3598; Cubillos, Francisco/0000-0003-3022-469X; de Boer, Carl/0000-0001-8935-5921; Regev, Aviv/0000-0003-3293-3158</t>
  </si>
  <si>
    <t>0028-0836</t>
  </si>
  <si>
    <t>1476-4687</t>
  </si>
  <si>
    <t>MAR 17</t>
  </si>
  <si>
    <t>10.1038/s41586-022-04506-6</t>
  </si>
  <si>
    <t>WOS:000766431300001</t>
  </si>
  <si>
    <t>Rezende, LFM; Ferrari, G; Bahia, LR; Rosa, RD; da Rosa, MQM; de Souza, RC; Lee, DH; Giovannucci, E; Eluf-Neto, J</t>
  </si>
  <si>
    <t>Rezende, Leandro F. M.; Ferrari, Gerson; Bahia, Luciana Ribeiro; Rosa, Roger Dos Santos; Machado da Rosa, Michelle Quarti; de Souza, Romulo Cristovao; Lee, Dong Hoon; Giovannucci, Edward; Eluf-Neto, Jose</t>
  </si>
  <si>
    <t>Economic burden of colorectal and breast cancers attributable to lack of physical activity in Brazil</t>
  </si>
  <si>
    <t>BackgroundThe increasing number of cancer patients has an escalating economic impact to public health systems (approximately, International dollars- Int$ 60 billion annually in Brazil). Physical activity is widely recognized as one important modifiable risk factor for cancer. Herein, we estimated the economic costs of colon and post-menopausal breast cancers in the Brazilian Unified Health System (SUS) attributable to lack of physical activity.MethodsPopulation attributable fractions were calculated using prevalence data from 57,962 adults who answered a physical activity questionnaire in the Brazilian National Health Survey, and relative risks of colon and breast cancer from a meta-analysis. Annual costs (1 Int$=2.1 reais) with hospitalization, chemotherapy and radiotherapy were obtained from the Hospital and Ambulatory Information Systems of the Brazilian SUS. Two counterfactual scenarios were considered: theoretical minimum risk exposure level (&gt;= 8000 MET-min/week) and physical activity guidelines (&gt;= 600 MET-min/week).ResultsAnnually, the Brazilian SUS expended Int$ 4.5 billion in direct costs related to cancer treatment, of which Int$ 553 million due to colon and breast cancers. Direct costs related to colon and breast cancers attributable to lack of physical activity were Int$ 23.4 million and Int$ 26.9 million, respectively. Achieving at least the physical activity guidelines would save Int$ 10.3 mi (colon, Int$ 6.4 mi; breast, Int$ 3.9 mi).ConclusionsLack of physical activity accounts for Int$ 50.3 million annually in direct costs related to colon and post-menopausal breast cancers. Population-wide interventions aiming to promote physical activity are needed to reduce the economic burden of cancer in Brazil.</t>
  </si>
  <si>
    <t>Giovannucci, Edward/ADE-8028-2022; Ferrari, Gerson/ABG-6635-2021; Eluf-Neto, Jose/B-2522-2009; Rosa, Roger/J-1395-2016; Rezende, Leandro/C-1724-2012; Ferrari, Gerson/P-1152-2014</t>
  </si>
  <si>
    <t>Rosa, Roger/0000-0002-7315-1200; Rezende, Leandro/0000-0002-7469-1399; Ferrari, Gerson/0000-0003-3177-6576; Rosa, Michelle/0000-0002-3036-3991; Lee, Dong Hoon/0000-0003-1329-4637</t>
  </si>
  <si>
    <t>JUN 22</t>
  </si>
  <si>
    <t>10.1186/s12889-021-11221-w</t>
  </si>
  <si>
    <t>WOS:000665779400007</t>
  </si>
  <si>
    <t>Jayanthi, V; Avudaiappan, S; Amran, M; Arunachalam, KP; Qader, DN; Delgado, MC; Flores, EIS; Rashid, RSM</t>
  </si>
  <si>
    <t>Jayanthi, V.; Avudaiappan, Siva; Amran, Mugahed; Arunachalam, Krishna Prakash; Qader, Diyar N.; Delgado, Manuel Chavez; Flores, Erick I. Saavedra; Rashid, Raizal S. M.</t>
  </si>
  <si>
    <t>Innovative use of micronized biomass silica-GGBS as agro-industrial by-products for the production of a sustainable high-strength geopolymer concrete</t>
  </si>
  <si>
    <t>Micronized biomass silica (MBS) and ground granulated blast furnace slag (GGBS) are agro-industrial byproducts generated by incinerating of rice husk (grinding in jar mill) and blast fur-naces that used produce iron, respectively. MBS accounts for 20% of the world's total paddy output of 590 million tons. These by-products (MBS and GGBS) have a high concentration of amorphous silica, which is utilized as a mineral additive in concrete. This amorphous silica in-teracts with hydration products, resulting in the formation of additional CSH gel. This improves concrete's strength and durability properties. Therefore, it is proven that inclusion of agro-industrial by-products in concrete helps to promote sustainable and greener development, which in turn reduces carbon footprints and waste that must be disposed of in landfills. There have been few investigations on concrete using MBS and demonstrated the great potential of employing MBS as a cement substitute or additive in normal concrete. Also, the utilization of MBS as partial replace to GGBS in geopolymer concrete (GPC) with different molarity is a novel aspect of this study. However, this study has the aim and limit to develop a high-strength eco-friendly GPC with agro-industrial byproducts (MBS and GGBS) for use in sustainable construction. The impact of incorporating MBS as a partial replacement of GGBS on compressive and split tensile strengths, sorptivity, and chloride permeability was tested up to the age of 28 days. MBS was used to replace GGBS in varying percentages in the preparation of concretes. MBS were used in con-crete at 0%, 10%, 20%, and 30% replacement by weight. It was discovered that a GPC combination containing MBS 20% and the balance GGBS as the binder had the best performance in terms of its strength and durability. The compressive strengths of all GPC mixtures exceeded the intended design strength. The main findings of this study demonstrated clearly that MBS may be employed as a binder in the production of GPC.</t>
  </si>
  <si>
    <t>Qader, Diyar/AFK-0405-2022; amran, mugahed/AAW-4821-2020; Chávez-Delgado, Manuel/GWN-0503-2022; VE., Jayanthi/I-8305-2016; Avudaiappan, Siva/AAV-7579-2021; Flores, Erick/I-7646-2012; ARUNACHALAM, Dr.KRISHNA PRAKASH/AEW-6862-2022</t>
  </si>
  <si>
    <t>ARUNACHALAM, Dr.KRISHNA PRAKASH/0000-0002-5151-2474; N. Qader, Diyar/0000-0003-3842-1313; Chavez Delgado, Manuel Esteban/0000-0002-0821-667X</t>
  </si>
  <si>
    <t>e01782</t>
  </si>
  <si>
    <t>10.1016/j.cscm.2022.e01782</t>
  </si>
  <si>
    <t>WOS:000952121700001</t>
  </si>
  <si>
    <t>Kumar, R; Sahoo, S; Joanni, E; Singh, RK; Yadav, RM; Verma, RK; Singh, DP; Tan, WK; del Pino, AP; Moshkalev, SA; Matsuda, A</t>
  </si>
  <si>
    <t>Kumar, Rajesh; Sahoo, Sumanta; Joanni, Ednan; Singh, Rajesh Kumar; Yadav, Ram Manohar; Verma, Rajiv Kumar; Pratap Singh, Dinesh; Tan, Wai Kian; Perez del Pino, Angel; Moshkalev, Stanislav A.; Matsuda, Atsunori</t>
  </si>
  <si>
    <t>A review on synthesis of graphene, h-BN and MoS2 for energy storage applications: Recent progress and perspectives</t>
  </si>
  <si>
    <t>NANO RESEARCH</t>
  </si>
  <si>
    <t>The significance of graphene and its two-dimensional (2D) analogous inorganic layered materials especially as hexagonal boron nitride (h-BN) and molybdenum disulphide (MoS2) for clean energy applications became apparent over the last few years due to their extraordinary properties. In this review article we study the current progress and selected challenges in the syntheses of graphene, h-BN and MoS2 including energy storage applications as supercapacitors and batteries. Various substrates/catalysts (metals/insulator/semiconducting) have been used to obtain graphene, h-BN and MoS2 using different kinds of precursors. The most widespread methods for synthesis of graphene, h-BN and MoS2 layers are chemical vapor deposition (CVD), plasma-enhanced CVD, hydro/solvothermal methods, liquid phase exfoliation, physical methods etc. Current research has shown that graphene, h-BN and MoS2 layered materials modified with metal oxide can have an insightful influence on the performance of energy storage devices as supercapacitors and batteries. This review article also contains the discussion on the opportunities and perspectives of these materials (graphene, h-BN and MoS2) in the energy storage fields. We expect that this written review article including recent research on energy storage will help in generating new insights for further development and practical applications of graphene, h-BN and MoS2 layers based materials.</t>
  </si>
  <si>
    <t>Kumar, Dr. Rajesh/H-6510-2011; Moshkalev, Stanislav/B-9462-2012; Kian, Tan/AAK-1044-2020; Perez del Pino, Angel/G-3758-2011; sahoo, sumanta/H-9443-2019; SINGH, DINESH/A-2509-2011; Yadav, Prof. Ram Manohar/P-9146-2014; Singh, Rajesh kumar/B-2721-2008; Joanni, Ednan/V-8680-2017; Wai Kian, Tan/H-8837-2018; Verma, Rajiv/C-3819-2013</t>
  </si>
  <si>
    <t>sahoo, sumanta/0000-0002-9429-3742; SINGH, DINESH/0000-0002-2893-7749; Yadav, Prof. Ram Manohar/0000-0001-6894-9501; Singh, Rajesh kumar/0000-0001-8884-8775; Kumar, Rajesh/0000-0001-7065-3259; Joanni, Ednan/0000-0001-5041-1770; Matsuda, Atsunori/0000-0002-6493-1205; Wai Kian, Tan/0000-0002-0014-5475; Verma, Rajiv/0000-0001-7373-2593</t>
  </si>
  <si>
    <t>1998-0124</t>
  </si>
  <si>
    <t>1998-0000</t>
  </si>
  <si>
    <t>10.1007/s12274-019-2467-8</t>
  </si>
  <si>
    <t>WOS:000494681100001</t>
  </si>
  <si>
    <t>Cristi-Montero, C; Ibarra-Mora, J; Gaya, A; Castro-Piñero, J; Solis-Urra, P; Aguilar-Farias, N; Ferrari, G; Rodriguez-Rodriguez, F; Sadarangani, KP</t>
  </si>
  <si>
    <t>Cristi-Montero, Carlos; Ibarra-Mora, Jessica; Gaya, Anelise; Castro-Pinero, Jose; Solis-Urra, Patricio; Aguilar-Farias, Nicolas; Ferrari, Gerson; Rodriguez-Rodriguez, Fernando; Sadarangani, Kabir P.</t>
  </si>
  <si>
    <t>Could Physical Fitness Be Considered as a Protective Social Factor Associated with Bridging the Cognitive Gap Related to School Vulnerability in Adolescents? The Cogni-Action Project</t>
  </si>
  <si>
    <t>The first aim was to compare differences between school vulnerability groups, fitness levels, and their combination in adolescent cognitive performance. The second aim was to determine the mediation role of fitness in the association between school vulnerability and cognitive performance. A total of 912 Chilean adolescents aged 10-14 years participated in this study. The school vulnerability index (SVI) assigned by the Chilean Government was categorized into high-, mid-, or low-SVI. Adolescents were classified as fit or unfit according to their global fitness z-score computed from their cardiorespiratory (CRF), muscular (MF), and speed/agility fitness (SAF) adjusted for age and sex. A global cognitive score was estimated through eight tasks based on a neurocognitive battery. Covariance and mediation analyses were performed, adjusted for sex, schools, body mass index, and peak high velocity. Independent analyses showed that the higher SVI, the lower the cognitive performance (F-(6,F-905) = 18.5; p &lt; 0.001). Conversely, fit adolescents presented a higher cognitive performance than their unfit peers (F-(5,F-906) = 8.93; p &lt; 0.001). The combined analysis found cognitive differences between fit and unfit adolescents in both the high- and mid-SVI levels (Cohen's d = 0.32). No differences were found between fit participants belonging to higher SVI groups and unfit participants belonging to lower SVI groups. Mediation percentages of 9.0%, 5.6%, 7.1%, and 2.8% were observed for the global fitness score, CRF, MF, and SAF, respectively. The mediation effect was significant between low- with mid-high-SVI levels but not between mid- and high-SVI levels. These findings suggest that an adequate physical fitness level should be deemed a protective social factor associated with bridging the cognitive gap linked to school vulnerability in adolescents. This favourable influence seems to be most significant in adolescents belonging to a more adverse social background.</t>
  </si>
  <si>
    <t>Ferrari, Gerson/ABG-6635-2021; Solis-Urra, Patricio/ABH-5748-2022; Aguilar-Farias, Nicolas/V-2742-2018; Cristi-Montero, Carlos/AAE-4945-2020; Ferrari, Gerson/P-1152-2014; Gaya, Anelise/C-1140-2012; Castro-Pinero, Jose/H-5857-2015; RODRIGUEZ, FERNANDO/F-2842-2016</t>
  </si>
  <si>
    <t>Ferrari, Gerson/0000-0003-3177-6576; Gaya, Anelise/0000-0002-8335-6947; Cristi-Montero, Carlos/0000-0002-9940-507X; IBARRA MORA, JESSICA/0000-0001-5693-0686; Castro-Pinero, Jose/0000-0002-7353-0382; sadarangani, kabir/0000-0002-3757-3799; RODRIGUEZ, FERNANDO/0000-0002-4999-4857; Solis-Urra, Patricio/0000-0002-2493-9528</t>
  </si>
  <si>
    <t>10.3390/ijerph181910073</t>
  </si>
  <si>
    <t>WOS:000762593300001</t>
  </si>
  <si>
    <t>Ramírez-García, PD; Retamal, JS; Shenoy, P; Imlach, W; Sykes, M; Truong, N; Constandil, L; Pelissier, T; Nowell, CJ; Khor, SY; Layani, LM; Lumb, C; Poole, DP; Lieu, T; Stewart, GD; Mai, QN; Jensen, DD; Latorre, R; Scheff, NN; Schmidt, BL; Quinn, JF; Whittaker, MR; Veldhuis, NA; Davis, TP; Bunnett, NW</t>
  </si>
  <si>
    <t>Ramirez-Garcia, Paulina D.; Retamal, Jeffri S.; Shenoy, Priyank; Imlach, Wendy; Sykes, Matthew; Truong, Nghia; Constandil, Luis; Pelissier, Teresa; Nowell, Cameron J.; Khor, Song Y.; Layani, Louis M.; Lumb, Chris; Poole, Daniel P.; Lieu, TinaMarie; Stewart, Gregory D.; Mai, Quynh N.; Jensen, Dane D.; Latorre, Rocco; Scheff, Nicole N.; Schmidt, Brian L.; Quinn, John F.; Whittaker, Michael R.; Veldhuis, Nicholas A.; Davis, Thomas P.; Bunnett, Nigel W.</t>
  </si>
  <si>
    <t>A pH-responsive nanoparticle targets the neurokinin 1 receptor in endosomes to prevent chronic pain</t>
  </si>
  <si>
    <t>NATURE NANOTECHNOLOGY</t>
  </si>
  <si>
    <t>Nanoparticle-mediated drug delivery is especially useful for targets within endosomes because of the endosomal transport mechanisms of many nanomedicines within cells. Here, we report the design of a pH-responsive, soft polymeric nanoparticle for the targeting of acidified endosomes to precisely inhibit endosomal signalling events leading to chronic pain. In chronic pain, the substance P (SP) neurokinin 1 receptor (NK1R) redistributes from the plasma membrane to acidified endosomes, where it signals to maintain pain. Therefore, the NK1R in endosomes provides an important target for pain relief. The pH-responsive nanoparticles enter cells by clathrin- and dynamin-dependent endocytosis and accumulate in NK1R-containing endosomes. Following intrathecal injection into rodents, the nanoparticles, containing the FDA-approved NK1R antagonist aprepitant, inhibit SP-induced activation of spinal neurons and thus prevent pain transmission. Treatment with the nanoparticles leads to complete and persistent relief from nociceptive, inflammatory and neuropathic nociception and offers a much-needed non-opioid treatment option for chronic pain.</t>
  </si>
  <si>
    <t>Lieu, TinaMarie/AAM-7691-2020; Poole, Daniel/AET-6645-2022; whittaker, michael/C-2449-2008; Truong, Nghia/J-5876-2014; Imlach, Wendy/G-7609-2011; Davis, Tom/B-6395-2008</t>
  </si>
  <si>
    <t>whittaker, michael/0000-0001-5706-3932; Ramirez Garcia, Paulina/0000-0003-0971-3501; Bunnett, Nigel W./0000-0003-3367-0644; Constandil, Luis/0000-0002-2504-0119; Nowell, Cameron/0000-0002-8662-9840; Poole, Daniel/0000-0002-6168-8422; Mai, Quynh/0000-0002-6199-2096; Retamal, Jeffri S./0000-0003-4984-4530; Veldhuis, Nicholas/0000-0002-8902-9365; Stewart, Gregory David/0000-0002-9748-4990; Truong, Nghia/0000-0001-9900-2644; Jensen, Dane D./0000-0001-6540-2375; Imlach, Wendy/0000-0002-7521-9969; Davis, Tom/0000-0003-2581-4986</t>
  </si>
  <si>
    <t>1748-3387</t>
  </si>
  <si>
    <t>1748-3395</t>
  </si>
  <si>
    <t>10.1038/s41565-019-0568-x</t>
  </si>
  <si>
    <t>WOS:000500925300014</t>
  </si>
  <si>
    <t>Valdés, C; Quispe, C; Fritz, RA; Andler, R; Villaseñor, J; Pecchi, G; Avendaño, E; Delgadillo, A; Setzer, WN; Sharifi-Rad, J</t>
  </si>
  <si>
    <t>Valdes, Cristian; Quispe, Cristina; Fritz, Ruben A.; Andler, Rodrigo; Villasenor, Jorge; Pecchi, Gina; Avendano, Edgardo; Delgadillo, Alvaro; Setzer, William N.; Sharifi-Rad, Javad</t>
  </si>
  <si>
    <t>MnO2/TiO2-Catalyzed ozonolysis: enhancing Pentachlorophenol degradation and understanding intermediates</t>
  </si>
  <si>
    <t>BMC CHEMISTRY</t>
  </si>
  <si>
    <t>Pentachlorophenol is a pesticide widely known for its harmful effects on sewage, causing harm to the environment. In previous studies, our group identified adsorption as a crucial factor in catalytic ozonation processes, and subsequent observations revealed the catalyst's role in reducing toxicity during degradation. In this research, we quantified organochlorine intermediates and low molecular weight organic acids generated under optimal pH conditions (pH 9), with and without the catalyst. Additionally, we assessed the reactivity of these intermediates through theoretical calculations. Our findings indicate that the catalyst reduces the duration of intermediates. Additionally, the presence of CO(2 )suggests enhanced mineralization of pentachlorophenol, a process notably facilitated by the catalyst. Theoretical calculations, such as Fukui analysis, offer insights into potential pathways for the dechlorination of aromatic molecules by radicals like OH, indicating the significance of this pathway.</t>
  </si>
  <si>
    <t>Valdés, Cristian/LDG-6598-2024; Setzer, William/HHS-1958-2022; Pecchi, Gina/T-5137-2018; Sharifi-Rad, Javad/D-5747-2016</t>
  </si>
  <si>
    <t>Avendano Caceres, Edgardo Oscar/0000-0002-8266-5609; Valdes Vergara, Cristian Rodrigo/0000-0002-0249-9445; Fritz Fritz, Ruben Alejandro/0000-0002-6691-4740; Sharifi-Rad, Javad/0000-0002-7301-8151</t>
  </si>
  <si>
    <t>2661-801X</t>
  </si>
  <si>
    <t>MAY 9</t>
  </si>
  <si>
    <t>10.1186/s13065-024-01194-3</t>
  </si>
  <si>
    <t>WOS:001217608900001</t>
  </si>
  <si>
    <t>Salamone, PC; Sedeño, L; Legaz, A; Bekinschtein, T; Martorell, M; Adolfi, F; Fraile-Vazquez, M; Arriagada, NR; Favaloro, L; Peradejordi, M; Absi, DO; García, AM; Favaloro, R; Ibáñez, A</t>
  </si>
  <si>
    <t>Celeste Salamone, Paula; Sedeno, Lucas; Legaz, Agustina; Bekinschtein, Tristan; Martorell, Miguel; Adolfi, Federico; Fraile-Vazquez, Matias; Rodriguez Arriagada, Nicolas; Favaloro, Liliana; Peradejordi, Margarita; Absi, Daniel O.; Garcia, Adolfo M.; Favaloro, Roberto; Ibanez, Agustin</t>
  </si>
  <si>
    <t>Dynamic neurocognitive changes in interoception after heart transplant</t>
  </si>
  <si>
    <t>BRAIN COMMUNICATIONS</t>
  </si>
  <si>
    <t>Heart-brain integration dynamics are critical for interoception (i.e. the sensing of body signals). In this unprecedented longitudinal study, we assessed neurocognitive markers of interoception in patients who underwent orthotopic heart transplants and matched healthy controls. Patients were assessed longitudinally before surgery (T1), a few months later (T2) and a year after (T3). We assessed behavioural (heartbeat detection) and electrophysiological (heartbeat evoked potential) markers of interoception. Heartbeat detection task revealed that pre-surgery (T1) interoception was similar between patients and controls. However, patients were outperformed by controls after heart transplant (T2), but no such differences were observed in the follow-up analysis (T3). Neurophysiologically, although heartbeat evoked potential analyses revealed no differences between groups before the surgery (T1), reduced amplitudes of this event-related potential were found for the patients in the two post-transplant stages (T2, T3). All these significant effects persisted after covariation with different cardiological measures. In sum, this study brings new insights into the adaptive properties of brain-heart pathways.</t>
  </si>
  <si>
    <t>Molina, Miguel/AAB-8582-2020; Adolfi, Federico/K-4661-2019; García, Adolfo/E-7150-2017; Salamone, Paula/AAI-5016-2020; Ibanez, Agustin/H-7976-2015</t>
  </si>
  <si>
    <t>Fraile, Matias/0000-0002-2434-3572; Ibanez, Agustin/0000-0001-6758-5101; Martorell Caro, Miguel Angel/0009-0007-6838-5831</t>
  </si>
  <si>
    <t>2632-1297</t>
  </si>
  <si>
    <t>10.1093/braincomms/fcaa095</t>
  </si>
  <si>
    <t>WOS:000639431800036</t>
  </si>
  <si>
    <t>Clarke, PM; Roope, LSJ; Loewen, PJ; Bonnefon, JF; Melegaro, A; Friedman, J; Violato, M; Barnett, A; Duch, R</t>
  </si>
  <si>
    <t>Clarke, Philip M.; Roope, Laurence S. J.; Loewen, Peter John; Bonnefon, Jean-Francois; Melegaro, Alessia; Friedman, Jorge; Violato, Mara; Barnett, Adrian; Duch, Raymond</t>
  </si>
  <si>
    <t>Public opinion on global rollout of COVID-19 vaccines</t>
  </si>
  <si>
    <t>friedman, jorge/ABC-4538-2021; Barnett, Adrian/I-9850-2012</t>
  </si>
  <si>
    <t>Duch, Raymond/0000-0002-1166-7674; Clarke, Philip/0000-0002-7555-5348; Barnett, Adrian/0000-0001-6339-0374; Melegaro, Alessia/0000-0003-2221-8898; Friedman, Jorge/0000-0002-3262-1296; Violato, Mara/0000-0002-0484-7706; Roope, Laurence/0000-0001-9098-9331</t>
  </si>
  <si>
    <t>10.1038/s41591-021-01322-9</t>
  </si>
  <si>
    <t>WOS:000635026800002</t>
  </si>
  <si>
    <t>García, AM; Arias-Vergara, T; Vasquez-Correa, JC; Nöth, E; Schuster, M; Welch, AE; Bocanegra, Y; Baena, A; Orozco-Arroyave, JR</t>
  </si>
  <si>
    <t>Garcia, Adolfo M.; Arias-Vergara, Tomas; C. Vasquez-Correa, Juan; Noth, Elmar; Schuster, Maria; Welch, Ariane E.; Bocanegra, Yamile; Baena, Ana; Orozco-Arroyave, Juan R.</t>
  </si>
  <si>
    <t>Cognitive Determinants of Dysarthria in Parkinson's Disease: An Automated Machine Learning Approach</t>
  </si>
  <si>
    <t>Background Dysarthric symptoms in Parkinson's disease (PD) vary greatly across cohorts. Abundant research suggests that such heterogeneity could reflect subject-level and task-related cognitive factors. However, the interplay of these variables during motor speech remains underexplored, let alone by administering validated materials to carefully matched samples with varying cognitive profiles and combining automated tools with machine learning methods. Objective We aimed to identify which speech dimensions best identify patients with PD in cognitively heterogeneous, cognitively preserved, and cognitively impaired groups through tasks with low (reading) and high (retelling) processing demands. Methods We used support vector machines to analyze prosodic, articulatory, and phonemic identifiability features. Patient groups were compared with healthy control subjects and against each other in both tasks, using each measure separately and in combination. Results Relative to control subjects, patients in cognitively heterogeneous and cognitively preserved groups were best discriminated by combined dysarthric signs during reading (accuracy = 84% and 80.2%). Conversely, patients with cognitive impairment were maximally discriminated from control subjects when considering phonemic identifiability during retelling (accuracy = 86.9%). This same pattern maximally distinguished between cognitively spared and impaired patients (accuracy = 72.1%). Also, cognitive (executive) symptom severity was predicted by prosody in cognitively preserved patients and by phonemic identifiability in cognitively heterogeneous and impaired groups. No measure predicted overall motor dysfunction in any group. Conclusions Predominant dysarthric symptoms appear to be best captured through undemanding tasks in cognitively heterogeneous and preserved cohorts and through cognitively loaded tasks in patients with cognitive impairment. Further applications of this framework could enhance dysarthria assessments in PD. (c) 2021 International Parkinson and Movement Disorder Society</t>
  </si>
  <si>
    <t>Vasquez-Correa, Juan/AAE-7371-2019; Welch, Ariane/AAE-8308-2020; García, Adolfo/E-7150-2017; Arias-Vergara, Tomas/GPX-0903-2022</t>
  </si>
  <si>
    <t>Vasquez-Correa, Juan Camilo/0000-0003-4946-9232; Arias-Vergara, Tomas/0000-0001-9405-4154; Orozco-Arroyave, Juan Rafael/0000-0002-8507-0782</t>
  </si>
  <si>
    <t>10.1002/mds.28751</t>
  </si>
  <si>
    <t>WOS:000684841800001</t>
  </si>
  <si>
    <t>García, AM; Ferrante, FJ; Pérez, G; Ponferrada, J; Welford, AS; Pelella, N; Caccia, M; Belloli, LML; Calcaterra, C; Santibáñez, CG; Echegoyen, R; Cerrutti, MJ; Johann, F; Hesse, E; Carrillo, F</t>
  </si>
  <si>
    <t>Garcia, Adolfo M.; Ferrante, Franco J.; Perez, Gonzalo; Ponferrada, Joaquin; Sosa Welford, Alejandro; Pelella, Nicolas; Caccia, Matias; Belloli, Laouen Mayal Louan; Calcaterra, Cecilia; Gonzalez Santibanez, Catalina; Echegoyen, Raul; Cerrutti, Mariano Javier; Johann, Fernando; Hesse, Eugenia; Carrillo, Facundo</t>
  </si>
  <si>
    <t>Toolkit to Examine Lifelike Language v.2.0: Optimizing Speech Biomarkers of Neurodegeneration</t>
  </si>
  <si>
    <t>Introduction: The Toolkit to Examine Lifelike Language (TELL) is a web-based application providing speech biomarkers of neurodegeneration. After deployment of TELL v.1.0 in over 20 sites, we now introduce TELL v.2.0. Methods: First, we describe the app's usability features, including functions for collecting and processing data onsite, offline, and via videoconference. Second, we summarize its clinical survey, tapping on relevant habits (e.g., smoking, sleep) alongside linguistic predictors of performance (language history, use, proficiency, and difficulties). Third, we detail TELL's speech-based assessments, each combining strategic tasks and features capturing diagnostically relevant domains (motor function, semantic memory, episodic memory, and emotional processing). Fourth, we specify the app's new data analysis, visualization, and download options. Finally, we list core challenges and opportunities for development. Results: Overall, TELL v.2.0 offers scalable, objective, and multidimensional insights for the field. Conclusion: Through its technical and scientific breakthroughs, this tool can enhance disease detection, phenotyping, and monitoring.</t>
  </si>
  <si>
    <t>García, Adolfo/E-7150-2017</t>
  </si>
  <si>
    <t>Ferrante, Franco Javier/0000-0002-9455-2214</t>
  </si>
  <si>
    <t>1421-9824</t>
  </si>
  <si>
    <t>10.1159/000541581</t>
  </si>
  <si>
    <t>WOS:001346208300001</t>
  </si>
  <si>
    <t>Roshchin, IV; Li, CP; Suhl, H; Batlle, X; Roy, S; Sinha, SK; Park, S; Pynn, R; Fitzsimmons, MR; Mejía-López, J; Altbir, D; Romero, AH; Schuller, IK</t>
  </si>
  <si>
    <t>Roshchin, Igor V.; Li, Chang-Peng; Suhl, Harry; Batlle, Xavier; Roy, S.; Sinha, Sunil K.; Park, S.; Pynn, Roger; Fitzsimmons, M. R.; Mejia-Lopez, Jose; Altbir, Dora; Romero, A. H.; Schuller, Ivan K.</t>
  </si>
  <si>
    <t>Measurement of the vortex core in sub-100 nm Fe dots using polarized neutron scattering</t>
  </si>
  <si>
    <t>EPL</t>
  </si>
  <si>
    <t>We use polarized neutron scattering to obtain quantitative information about the magnetic state of sub-100 nm circular magnetic dots. Evidence for the transition from a single domain to a vortex state, as a function of the dot diameter and magnetic field, is found from magnetization curves and confirmed by micromagnetic and Monte-Carlo simulations. For 20 nm-thick Fe dots with diameters close to 60 nm, the vortex is the ground state. The magnetization of the vortex core (140 +/- 50 emu/cm(3)) and its diameter (19 +/- 4 nm) obtained from polarized neutron scattering are in agreement with simulations. Copyright (C) EPLA, 2009</t>
  </si>
  <si>
    <t>Roshchin, Igor/I-5162-2012; Sinha, Sunil/D-3623-2014; Schuller, Ivan/B-3162-2013; Mejia-Lopez, Jose/T-6773-2017; Altbir, Dora/R-6781-2018; romero, aldo/B-2344-2016; Batlle, Xavier/H-5795-2012</t>
  </si>
  <si>
    <t>Mejia-Lopez, Jose/0000-0003-0301-3408; Altbir, Dora/0000-0002-2945-4909; romero, aldo/0000-0001-5968-0571; Fitzsimmons, Michael/0000-0001-6204-5480; Batlle, Xavier/0000-0001-7897-2692</t>
  </si>
  <si>
    <t>0295-5075</t>
  </si>
  <si>
    <t>1286-4854</t>
  </si>
  <si>
    <t>10.1209/0295-5075/86/67008</t>
  </si>
  <si>
    <t>WOS:000269357700032</t>
  </si>
  <si>
    <t>Barria-Asenjo, NA; Polo, SAM; Perunovic, A; Scholten, H; Camargo-Castillo, J; León, A; Salas, G; Maiwald, F; Letelier, SA; Willems, B; Muñoz, FAV; Villapudua, KC; Ayala-Colqui, J</t>
  </si>
  <si>
    <t>Barria-Asenjo, Nicol A.; Polo, Simone A. Medina; Perunovic, Andrea; Scholten, Hernan; Camargo-Castillo, Javier; Leon, Alberto; Salas, Gonzalo; Maiwald, Florian; Letelier, S. Antonio; Willems, Brian; Munoz, Francisco Alejandro Vergara; Villapudua, Karla Castillo; Ayala-Colqui, Jesus</t>
  </si>
  <si>
    <t>Some Reflections on Psychoanalysis, Philosophy and Politics. Exploring the Intellectual Trajectory of Alain Badiou</t>
  </si>
  <si>
    <t>ANALES DEL SEMINARIO DE HISTORIA DE LA FILOSOFIA</t>
  </si>
  <si>
    <t>In the light of some recent criticisms, this text seeks to promote a debate that takes place on two fronts: on the one hand, the logic of the origin of logic and, on the other hand, the relationship between psychoanalysis and Marxism. To this end, some texts published by Alain Badiou towards the end of the 1960s, in which he polemicizes with Jacques -Alain Miller around the concepts of suture and subject (Zizek), are recovered in order to situate both the different positions and the coherent reconsiderations throughout his intellectual trajectory. Indeed, from The Concept of the Model to his most recent trilogy (Theory of the Subject, Being and the Event and Logic of Worlds), a perspective is proposed that, far from establishing hierarchies and subordinations, seeks to promote connections based on specificities and differences through that particular path that is philosophy. In this way it is possible to appreciate that, despite his critique of the primacy of the logic of the signifier, the concepts proposed by Jacques Lacan functioned as a notorious source of inspiration for Badiou, especially in relation to the subject of the unconscious.</t>
  </si>
  <si>
    <t>Ayala-Colqui, Jesús/JCO-7738-2023; León, Alberto/ABG-9184-2020; Salas, Gonzalo/AAD-4907-2019; Perunovic, Andrea/HJY-6033-2023; Willems, Brian/D-4755-2017</t>
  </si>
  <si>
    <t>Scholten, Hernan Santiago Ezequiel/0000-0003-3366-2142; Medina Polo, Simone/0000-0003-4029-1474; Perunovic, Andrea/0000-0003-1144-3088; Maiwald, Florian/0009-0004-7738-4433; Leon, Eduardo Alberto/0000-0002-0137-6291; Barria-Asenjo, Nicol A./0000-0002-0612-013X; Camargo, Javier/0000-0002-8484-8273; Letelier Soto, Antonio/0000-0003-0203-7256; Salas, Gonzalo/0000-0003-0707-8188; Vergara Munoz, Francisco Alejandro/0000-0001-7492-7915; Willems, Brian/0000-0002-2141-3854</t>
  </si>
  <si>
    <t>0211-2337</t>
  </si>
  <si>
    <t>1988-2564</t>
  </si>
  <si>
    <t>10.5209/ashf.88951</t>
  </si>
  <si>
    <t>WOS:001239866300013</t>
  </si>
  <si>
    <t>Garcia, MCY; Herrera-Cuenca, M; Ferrari, G; Sanabria, LYC; Hernandez, P; Almeida, RY; Caceres, MV; Gomez, G; Pareja, R; Rigotti, A; Kovalskys, I; Fisberg, M</t>
  </si>
  <si>
    <t>Yepez Garcia, Martha Cecilia; Herrera-Cuenca, Marianella; Ferrari, Gerson; Sanabria, Lilia Yadira Cortes; Hernandez, Pablo; Almeida, Rafaela Yepez; Villar Caceres, Monica; Gomez, Georgina; Pareja, Rossina; Rigotti, Attilio; Kovalskys, Irina; Fisberg, Mauro</t>
  </si>
  <si>
    <t>Energy Imbalance Gap, Anthropometric Measures, Lifestyle, and Sociodemographic Correlates in Latin American Adults-Results from the ELANS Study</t>
  </si>
  <si>
    <t>Overweight and obesity are often explained by an imbalance between energy intake and expenditure. This, in addition to metabolic effects, makes it difficult to assess the real state of individual energy balance. This study aims to analyze the energy gaps between intake and expenditure in the adult population of Latin America, as well as its relationships with sociodemographic variables and nutrition status, to draw an epidemiological perspective based on the trends observed. The energy imbalance gap was used to this end. The difference between energy intake and expenditure can be applied as a reference to explain whether weight equilibrium can prevent weight gain. Moreover, the energy imbalance gap allows for a better understanding of the design of public health policies. Using data from the Latin American Study of Nutrition and Health, the energy imbalance gap in adult population from eight Latin-American countries was assessed in 5994 subjects aged from 19-65. Usual dietary intake was measured using two non-consecutive 24 h dietary recalls. The sociodemographic questionnaire was supplemented by anthropometric measurements. Physical activity was measured through the long International Physical Activity Questionnaire. Energy expenditure was obtained using the basal metabolic rate. For the overall sample, the mean energy intake was 1939.1 kcal (95% CI: 1926.9; 1951.3), the mean of energy expenditure was 1915.7 kcal (95% CI: 1906.4; 1924.9), and the mean of energy imbalance gap was 23.4 kcal (95% CI: 11.9; 35.0). Results show that energy intake and expenditure were higher in men. Moreover, subjects aged 19-34, of high socioeconomic level, who completed high school, were mestizos and were of normal weight consumed the highest number of calories. Overall, a positive energy imbalance gap was observed. Overweight and obese from Argentina, Costa Rica, Ecuador, Peru, and Venezuela showed a significantly lower energy imbalance gap than underweight subjects. These findings confirm the high variability of energy imbalance gap and the accompanying correlates of energy intake and expenditure. Further research is needed to specifically address interventions in low and middle-income countries such as many in Latin America, to help reduce the prevalence of obesity and eradicate undernutrition.</t>
  </si>
  <si>
    <t>Ferrari, Gerson/ABG-6635-2021; Cortes, Lilia/AAF-2960-2019; Hernandez rivas, Pablo/AAA-3727-2021; Gomez, Georgina/AAR-7272-2020; Pareja, Rossina/D-9892-2018; Fisberg, Mauro/E-7149-2010; Ferrari, Gerson/P-1152-2014</t>
  </si>
  <si>
    <t>Kovalskys, Irina/0000-0001-8481-5415; Pareja, Rossina/0000-0001-7523-3181; Yepez, Martha Cecilia/0000-0003-4119-238X; Fisberg, Mauro/0000-0003-2992-3215; Gomez, Georgina/0000-0003-3514-2984; Ferrari, Gerson/0000-0003-3177-6576; Hernandez Rivas, Pablo Ignacio/0000-0002-6691-7618; Herrera-Cuenca, Marianella/0000-0003-0162-3480; Cortes, Lilia Yadira/0000-0003-2789-3219</t>
  </si>
  <si>
    <t>10.3390/ijerph19031129</t>
  </si>
  <si>
    <t>WOS:000754784500001</t>
  </si>
  <si>
    <t>Kamalasekar, A; Chandran, K; Chowdry, S; Alzubi, JA; Murugesan, R; Fernández-Campusano, C; Gheisari, M; Rabiei-Dastjerdi, H; Mehbodniya, A</t>
  </si>
  <si>
    <t>Kamalasekar, Athiappan; Chandran, Karthik; Chowdry, Subrata; Alzubi, Jafar A.; Murugesan, Rajalakshmi; Fernandez-Campusano, Christian; Gheisari, Mehdi; Rabiei-Dastjerdi, Hamidreza; Mehbodniya, Abolfazl</t>
  </si>
  <si>
    <t>Road crash analysis and countermeasures on hilly roads in a developing country using iRAP</t>
  </si>
  <si>
    <t>INTERNATIONAL JOURNAL OF CRASHWORTHINESS</t>
  </si>
  <si>
    <t>Road crashes are a major concern in the twenty-first century affecting the global economy and society in general. The earlier researcher used conventional methods such as statistical and GIS-based analysis to reduce road crashes with available road crash data. This research focuses on improvements needed in the existing road infrastructure of hilly roads to reduce the road crashes based on International road assessment programme (iRAP) which ranks the countermeasures needed to upgrade for reducing the road crashes in the existing roads. Thus helping to ensure the effective utilisation of available funds for road safety upgrades based on the ranking of countermeasures and implementing corrective measures in underdeveloped and developing countries roads based on the availability of funds. iRAP provides a straight forward and cost-effective technique to assess mitigation needs on hilly roads to reduce the road crashes.</t>
  </si>
  <si>
    <t>Fernández-Campusano, Christian/M-8749-2018; K, Athiappan/ACH-6356-2022; Rabiei, Hamid/LTD-6854-2024; Karthik, Chandran/ABA-5510-2020; Murugesan, Rajalakshmi/AAV-7913-2021; Alzubi, Jafar/G-7623-2017</t>
  </si>
  <si>
    <t>1358-8265</t>
  </si>
  <si>
    <t>1754-2111</t>
  </si>
  <si>
    <t>10.1080/13588265.2025.2469982</t>
  </si>
  <si>
    <t>WOS:001436670100001</t>
  </si>
  <si>
    <t>Kumar, KN; Reddy, GVA; Sattar, SA; Radhalayam, D; Doreswamy, BH; Sunil, MA; Rosaiah, P; Prakash, NG; Amina, M; Ko, TJ</t>
  </si>
  <si>
    <t>Kumar, Kilari Naveen; Reddy, G. V. Ashok; Sattar, Sheik Abdul; Radhalayam, Dhanalakshmi; Doreswamy, B. H.; Sunil, M. Anantha; Rosaiah, P.; Prakash, Nunna Guru; Amina, Musarat; Ko, Tae Jo</t>
  </si>
  <si>
    <t>Impact of substrate rotation on optical, and electrochromic properties of WO3 films prepared magnetron sputtering for electrochromic applications</t>
  </si>
  <si>
    <t>WO3 films were prepared on fluorine-doped tin oxide (FTO) and CG glass substrates vusing sputtering. In the deposition, the substrates were rotated with different rpms 0, 1, 3, and 5 and annealed for 2 h at 400 degrees C. The deposited films were characterized using SEM for surface morphology, XRD for crystal structure, Uv-Vis spectrometry for optical studies, and electrochemical analysis. The SEM analysis revealed that the deposited samples were smooth. XRD analysis revealed crystalline peaks in the annealed samples, whereas the samples that were deposited by RT displayed an amorphous character. The transmittance and bandgap values varied with respect to the substrate rotation speed and annealing temperature. Chronoamperometry (CA) and cyclic voltammetry (CV) were performed in 0.5 M H2SO4. From the CV analysis, the highest cathodic peak current and diffusion coefficient values were observed for the substrate at rpm 5 because of its porous nature, and for the annealed samples, the cathodic peak current decreased. From CA analysis, the duration of coloration for all thin films was greater than the duration of bleaching time.</t>
  </si>
  <si>
    <t>Maligi, Anantha Sunil/KIC-2741-2024; Sattar, Abdul/AAB-6821-2020; Nunna, Guru Prakash/AFO-6502-2022; Doreswamy, B/S-8762-2019</t>
  </si>
  <si>
    <t>Ko, Tae Jo/0000-0003-1465-696X</t>
  </si>
  <si>
    <t>10.1016/j.physb.2025.416902</t>
  </si>
  <si>
    <t>WOS:001409860000001</t>
  </si>
  <si>
    <t>O'Donovan, G; Petermann-Rocha, F; Ferrari, G; Medina, C; Ochoa-Rosales, C; Sarmiento, OLL; Ibáñez, A</t>
  </si>
  <si>
    <t>O'Donovan, Gary; Petermann-Rocha, Fanny; Ferrari, Gerson; Medina, Catalina; Ochoa-Rosales, Carolina; Sarmiento, Olga L. L.; Ibanez, Agustin</t>
  </si>
  <si>
    <t>Associations of the 'weekend warrior' physical activity pattern with mild dementia: findings from the Mexico City Prospective Study</t>
  </si>
  <si>
    <t>Objectives To investigate associations of the 'weekend warrior' physical activity pattern with mild dementia.Methods Participants in the Mexico City Prospective Study were surveyed from 1998 to 2004 and re-surveyed from 2015 to 2019. Participants were asked about leisure time physical activity at baseline. Those who exercised up to once or twice per week were termed 'weekend warriors' and those who exercised more often were termed 'regularly active'. A Mini Mental State Examination (MMSE) was used to assess mild dementia at re-survey. Cox models were adjusted for age, sex, education, income, blood pressure, smoking, body mass index, civil status, sleep, diet and alcohol at baseline. The attributable fraction was defined as the proportion of cases that would not exist if all adults were to exercise once or twice per week or more often.Results The analysis included 10 033 adults of mean (SD) age 51 (10) years followed for 16 (2) years. There were 2400 cases when mild dementia was defined as a score of &lt;= 22 on the MMSE. Compared with the group that reported no sport or exercise, the hazard ratio was 0.75 (95% CI 0.61 to 0.91) in the weekend warrior group, 0.89 (95% CI 0.78 to 1.02) in the regularly active group and 0.84 (95% CI 0.75 to 0.95) in the combined group. The attributable fraction was 13% (95% CI 5% to 21%). Similar results were observed when mild dementia was defined as a score of &lt;= 23 on the MMSE.Conclusions This longitudinal analysis suggests that the weekend warrior physical activity pattern is associated with a reduced risk of mild dementia.</t>
  </si>
  <si>
    <t>Sarmiento, Olga/AAS-4165-2020; Ferrari, Gerson/HHM-6173-2022; Petermann-Rocha, Fanny/AAK-1230-2021; Medina, Catalina/AAT-6316-2020; Ochoa-Rosales, Carolina/ISB-3109-2023; Ferrari, Gerson/P-1152-2014; Ibanez, Agustin/H-7976-2015</t>
  </si>
  <si>
    <t>Ferrari, Gerson/0000-0003-3177-6576; Ochoa-Rosales, Carolina/0000-0001-8048-9165; O'Donovan, Gary/0000-0001-6748-6218; Petermann Rocha, Fanny/0000-0002-4384-4962; Sarmiento, Olga L/0000-0002-9190-3568; Ibanez, Agustin/0000-0001-6758-5101</t>
  </si>
  <si>
    <t>2024 OCT 29</t>
  </si>
  <si>
    <t>10.1136/bjsports-2024-108460</t>
  </si>
  <si>
    <t>WOS:001352352500001</t>
  </si>
  <si>
    <t>González-Ruíz, K; Correa-Bautista, JE; Izquierdo, M; García-Hermoso, A; Dominguez-Sanchez, MA; Bustos-Cruz, RH; García-Prieto, JC; Martínez-Vizcaíno, V; Lobelo, F; González-Jiménez, E; Prieto-Benavides, DH; Tordecilla-Sanders, A; Schmidt-RioValle, J; Perez, G; Ramírez-Vélez, R</t>
  </si>
  <si>
    <t>Gonzalez-Ruiz, Katherine; Enrique Correa-Bautista, Jorge; Izquierdo, Mikel; Garcia-Hermoso, Antonio; Andrea Dominguez-Sanchez, Maria; Helena Bustos-Cruz, Rosa; Canete Garcia-Prieto, Jorge; Martinez-Vizcaino, Vicente; Lobelo, Felipe; Gonzalez-Jimenez, Emilio; Humberto Prieto-Benavides, Daniel; Tordecilla-Sanders, Alejandra; Schmidt-RioValle, Jacqueline; Perez, Guillermo; Ramirez-Velez, Robinson</t>
  </si>
  <si>
    <t>Effects of an exercise program on hepatic metabolism, hepatic fat, and cardiovascular health in overweight/obese adolescents from Bogota, Colombia (the HEPAFIT study): study protocol for a randomized controlled trial</t>
  </si>
  <si>
    <t>TRIALS</t>
  </si>
  <si>
    <t>Background: A considerable proportion of contemporary youth have a high risk of obesity-related disorders such as cardiovascular disease, metabolic syndrome, or non-alcoholic fatty liver disease (NAFLD). Although there is consistent evidence for the positive effects of physical activity on several health aspects, most adolescents in Colombia are sedentary. It is, therefore, important to implement strategies that generate changes in lifestyle. The HEPAFIT study aims to examine whether a 6-month exercise program has benefits for hepatic fat content and cardiovascular health outcomes among overweight/obese adolescents from Bogota, Colombia. Methods/design: Altogether, 100 hundred overweight/obese, sedentary adolescents (aged 11-17 years) attending two public schools in Bogota, Colombia, will be included in a parallel-group randomized controlled trial. Adolescents will be randomly assigned to an intervention group following one of four curricula: (1) the standard physical education curriculum (60 min per week of physical activity, n = 25) at low-to-moderate intensity; (2) a high-intensity physical education curriculum (HIPE, n = 25), consisting of endurance and resistance games and non-competitive activities, such as running, gymkhanas, lifting, pushing, wrestling, or hauling, for 60-min sessions, three times per week, with an energy expenditure goal of 300 to 500 kcal/session at 75-85% maximum heart rate (HRmax); (3) a low-to-moderate intensity physical education curriculum (LIPE, n = 25) consisting of endurance and resistance games and non-competitive activities (e.g., chasing, sprinting, dribbling, or hopping) for 60-min sessions, three times per week with an energy expenditure goal of 300 kcal/session at 55-75% HRmax; and (4) a combined HIPE and LIPE curriculum (n = 25). The HIPE, LIPE, and combined interventions were performed in addition to the standard physical education curriculum. The primary outcome for effectiveness is liver fat content, as measured by the controlled attenuation parameter 1 week after the end of the intervention program. Discussion: The translational focus may be suitable for collecting new information in a school setting on the possible effects of physical activity interventions to reduce liver fat content and to improve metabolic profiles and the cardiometabolic health of overweight/obese adolescents. This may lead to the more efficient use of school physical education resources.</t>
  </si>
  <si>
    <t>Correa-Bautista, Jorge Enrique/JDD-3131-2023; González-Ruíz, Katherine/CAA-4624-2022; García-Hermoso, Antonio/ADU-2591-2022; VIZCAINO, VICENTE/R-4336-2017; González-Jiménez, Emilio/I-6039-2017; Rio-Valle, Jacqueline/I-6333-2017; Correa-Bautista, Jorge Enrique/N-2741-2015; Tordecilla-Sanders, Alejandra/O-6276-2017; Garcia-Hermoso, Antonio/P-1857-2017; Izquierdo, Mikel/A-4894-2010; Bustos Cruz, Helena/P-2742-2018; Lobelo, Felipe/AAB-2264-2021; Ramirez-Velez, Robinson/D-5311-2016</t>
  </si>
  <si>
    <t>Correa-Bautista, Jorge Enrique/0000-0002-0646-2316; Tordecilla-Sanders, Alejandra/0000-0002-7461-8124; Garcia-Hermoso, Antonio/0000-0002-1397-7182; Gonzalez-Ruiz, Katherine/0000-0001-7518-0761; Izquierdo, Mikel/0000-0002-1506-4272; Bustos Cruz, Helena/0000-0003-0243-2299; Lobelo, Felipe/0000-0003-4185-7193; Ramirez-Velez, Robinson/0000-0003-3075-6960; Dominguez Sanchez, Maria Andrea/0000-0003-0830-7990</t>
  </si>
  <si>
    <t>1745-6215</t>
  </si>
  <si>
    <t>10.1186/s13063-018-2721-5</t>
  </si>
  <si>
    <t>WOS:000436818800003</t>
  </si>
  <si>
    <t>Gattei, CA; Ferrante, FJ; Sampedro, B; Sterpin, L; Abusamra, V; Abusamra, L; Cañataro, PA; García, AM</t>
  </si>
  <si>
    <t>Gattei, Carolina A.; Ferrante, Franco J.; Sampedro, Barbara; Sterpin, Lucas; Abusamra, Valeria; Abusamra, Lorena; Canataro, Paola Andrea; Garcia, Adolfo M.</t>
  </si>
  <si>
    <t>Semantic memory navigation in HIV: Conceptual associations and word selection patterns</t>
  </si>
  <si>
    <t>CLINICAL NEUROPSYCHOLOGIST</t>
  </si>
  <si>
    <t>Objective: This proof-of-concept study aimed to characterize semantic memory profiles in individuals with human immunodeficiency virus (HIV) and mild neurocognitive impairment. Method: Using a semantic relatedness task, we explored conceptual association and word selection patterns in people living with HIV (PLWH; n = 50) relative to people living without HIV (n = 46). We also studied whether word selection patterns in the PLWH group were associated with working memory capacity, cognitive flexibility and inhibitory control. Results: While accuracy did not differ between groups, PLWH produced significantly longer responses than controls (r = .32), with fewer hypernyms (d = .47), more troponyms (r = .37), and words that were more frequent (r = .39) and had more phonological neighbors (r = .22). These patterns survived covariation with participants' cognitive status. None of these patterns correlated with measures of working memory, cognitive flexibility, inhibitory control or viral load (all correlation coefficients &lt; .36). Conclusions: Together, these results suggest that PLWH might use alternative word finding strategies during semantic memory navigation, irrespective of the severity of other cognitive symptoms. Such findings contribute to the characterization of cognitive deficits in HIV and to the search for novel markers of the condition.</t>
  </si>
  <si>
    <t>Honisch, Claudia/ABF-3946-2021; Tothova, Jana/AAE-5502-2021; García, Adolfo/E-7150-2017; Ragazzi, Eugenio/ACX-1875-2022; Ruzza, Paolo/N-6030-2015; Gattei, Carolina/T-4743-2019</t>
  </si>
  <si>
    <t>rossi, orietta/0000-0002-0760-3723; Ruzza, Paolo/0000-0002-5596-9295; Rodella, Umberto/0000-0002-4910-1617; Ragazzi, Eugenio/0000-0002-0390-6823; Gattei, Carolina/0000-0002-7490-3363; Ferrante, Franco Javier/0000-0002-9455-2214; Honisch, Claudia/0000-0001-9720-6176</t>
  </si>
  <si>
    <t>1385-4046</t>
  </si>
  <si>
    <t>1744-4144</t>
  </si>
  <si>
    <t>2024 OCT 17</t>
  </si>
  <si>
    <t>10.1080/13854046.2024.2417844</t>
  </si>
  <si>
    <t>WOS:001340606100001</t>
  </si>
  <si>
    <t>López, RA; Lazar, M; Shaaban, SM; Poedts, S; Moya, PS</t>
  </si>
  <si>
    <t>Lopez, R. A.; Lazar, M.; Shaaban, S. M.; Poedts, S.; Moya, P. S.</t>
  </si>
  <si>
    <t>Alternative High-plasma Beta Regimes of Electron Heat-flux Instabilities in the Solar Wind</t>
  </si>
  <si>
    <t>Heat transport in the solar wind is dominated by suprathermal electron populations, i.e., a tenuous halo and a field-aligned beam/strahl, with high energies and antisunward drifts along the magnetic field. Their evolution may offer plausible explanations for the rapid decrease of the heat flux with the solar wind expansion, and self-generated instabilities, or so-called heat flux instabilities (HFIs), are typically invoked to explain this evolution. This Letter provides a unified description of the full spectrum of HFIs, as prescribed by the linear kinetic theory for high beta conditions (beta(e) &gt;&gt; 0.1) and different relative drifts (U) of the suprathermals. HFIs of different natures are examined, i.e., electromagnetic, electrostatic or hybrid, propagating parallel or obliquely to the magnetic field, etc., as well as their regimes of interplay (co-existence) or dominance. These alternative regimes of HFIs complement each other and may be characteristic of different relative drifts of suprathermal electrons and various conditions in the solar wind, e.g., in the slow or fast winds, streaming interaction regions, and interplanetary shocks. Moreover, these results strongly suggest that heat flux regulation may not involve just one but several HFIs, concomitantly or successively in time. Conditions for a single, well-defined instability with major effects on the suprathermal electrons and, implicitly, the heat flux, seem to be very limited. Whistler HFIs are more likely to occur but only for minor drifts (as also reported by recent observations), which may explain a modest implication in their regulation, shown already in quasilinear studies and numerical simulations.</t>
  </si>
  <si>
    <t>Poedts, Stefaan/AAG-1995-2019; Shaaban, Shaaban/O-4663-2019; Lazar, Marian/U-7133-2019; Lazar, Marian/C-3264-2012; Lopez, Rodrigo/H-7576-2013; Moya, Pablo S./C-3163-2011; Poedts, Stefaan/C-9775-2012</t>
  </si>
  <si>
    <t>Lazar, Marian/0000-0002-8508-5466; Shaaban, Shaaban Mohammed/0000-0003-0465-598X; Lopez, Rodrigo/0000-0003-3223-1498; Moya, Pablo S./0000-0002-9161-0888; Poedts, Stefaan/0000-0002-1743-0651</t>
  </si>
  <si>
    <t>L25</t>
  </si>
  <si>
    <t>10.3847/2041-8213/abaf56</t>
  </si>
  <si>
    <t>WOS:000569604100001</t>
  </si>
  <si>
    <t>Nascimento, W; Ferrari, G; Martins, CB; Rey-Lopez, JP; Izquierdo, M; Lee, DH; Giovannucci, EL; Rezende, LFM</t>
  </si>
  <si>
    <t>Nascimento, Wilson; Ferrari, Gerson; Martins, Camila Bertini; Rey-Lopez, Juan Pablo; Izquierdo, Mikel; Lee, Dong Hoon; Giovannucci, Edward L.; Rezende, Leandro F. M.</t>
  </si>
  <si>
    <t>Muscle-strengthening activities and cancer incidence and mortality: a systematic review and meta-analysis of observational studies</t>
  </si>
  <si>
    <t>Background Physical activity has been associated with reduced risk of seven types of cancer. It remains unclear, however, whether muscle-strengthening activities also reduce cancer incidence and mortality. Methods PubMed, Embase, Web of Science and Scopus were searched from inception to March 2020. Summary hazard ratio (HR) and 95% confidence intervals (CI) were estimated using random-effects models. Results Twelve studies (11 cohorts; 1 case-control), 6 to 25 years of follow-up, including 1,297,620 participants, 32,196 cases and 31,939 deaths, met inclusion criteria. Muscle-strengthening activities were associated with a 26% lower incidence of kidney cancer (HR for high vs low levels of muscle-strengthening activities: 0.74; 95% CI 0.56 to 0.98; I-2 0%; 2 studies), but not with incidence of other 12 types of cancer. Muscle-strengthening activities were associated with lower total cancer mortality: HRs for high vs low levels of muscle-strengthening activities was 0.87 (95% CI 0.73 to 1.02; I-2 58%; 6 studies); and HR for &gt;= 2 times/week vs &lt; 2 times/week of muscle-strengthening activities was 0.81 (95% CI 0.74 to 0.87; I-2 0%; 4 studies). Regarding the weekly duration of muscle-strengthening activities, HR for total cancer mortality were 0.91 (95% CI 0.82 to 1.01; I-2 0%; 2 studies) for 1-59 min/week and 0.98 (95% CI 0.89 to 1.07; I-2 0%) for &gt;= 60 min/week vs none. Combined muscle-strengthening and aerobic activities (vs none) were associated with a 28% lower total cancer mortality (HR 0.72; 95% CI 0.53 to 0.98; I-2 85%; 3 studies). Conclusions Muscle-strengthening activities were associated with reduced incidence of kidney cancer and total cancer mortality. Combined muscle-strengthening and aerobic activities may provide a greater reduction in total cancer mortality.</t>
  </si>
  <si>
    <t>Ferrari, Gerson/ABG-6635-2021; Martins, Camila/ABE-7120-2020; Giovannucci, Edward/ADE-8028-2022; Izquierdo, Mikel/A-4894-2010; Ferrari, Gerson/P-1152-2014; Rezende, Leandro/C-1724-2012</t>
  </si>
  <si>
    <t>Izquierdo, Mikel/0000-0002-1506-4272; Lee, Dong Hoon/0000-0003-1329-4637; Ferrari, Gerson/0000-0003-3177-6576; Rezende, Leandro/0000-0002-7469-1399</t>
  </si>
  <si>
    <t>10.1186/s12966-021-01142-7</t>
  </si>
  <si>
    <t>WOS:000655966700001</t>
  </si>
  <si>
    <t>Gómez-Carvajal, AM; Santamaría-García, H; García, AM; Valderrama, M; Mejia, J; Santamaría-García, J; Bernal, M; Silva, J; Ibáñez, A; Baez, S</t>
  </si>
  <si>
    <t>Gomez-Carvajal, Ana-Maria; Santamaria-Garcia, Hernando; Garcia, Adolfo M.; Valderrama, Mario; Mejia, Jhony; Santamaria-Garcia, Jose; Bernal, Mateo; Silva, Jaime; Ibanez, Agustin; Baez, Sandra</t>
  </si>
  <si>
    <t>The unique social sense of puerperium: Increased empathy and Schadenfreude in parents of newborns</t>
  </si>
  <si>
    <t>Pregnancy and puerperium are typified by marked biobehavioral changes. These changes, which are traceable in both mothers and fathers, play an important role in parenthood and may modulate social cognition abilities. However, the latter effects remain notably unexplored in parents of newborns (PNs). To bridge this gap, we assessed empathy and social emotions (envy and Schadenfreude) in 55 PNs and 60 controls (childless healthy participants without a romantic relationship or sexual intercourse in the previous 48 hours). We used facial electromyography to detect physiological signatures of social emotion processing. Results revealed higher levels of affective empathy and Schadenfreude in PNs, the latter pattern being accompanied by increased activity of the corrugator suppercilii region. These effects were not explained by potential confounding variables (educational level, executive functioning, depression, stress levels, hours of sleep). Our novel findings suggest that PNs might show social cognition changes crucial for parental bonding and newborn care.</t>
  </si>
  <si>
    <t>García, Adolfo/E-7150-2017; Bernal, Mateo/LKJ-7393-2024; Baez, Sandra/ABC-7150-2020; Ibanez, Agustin/H-7976-2015</t>
  </si>
  <si>
    <t>Gomez Carvajal, Ana/0000-0002-8628-3800; Mejia Perez, Jhony Alejandro/0000-0002-0313-6902; Santamaria Garcia, Hernando/0000-0001-9422-3579; Ibanez, Agustin/0000-0001-6758-5101; Bernal Navas, Mateo/0000-0002-7410-6276; Valderrama, Mario/0000-0001-8791-6078</t>
  </si>
  <si>
    <t>APR 1</t>
  </si>
  <si>
    <t>10.1038/s41598-020-62622-7</t>
  </si>
  <si>
    <t>WOS:000563462200010</t>
  </si>
  <si>
    <t>Mousazadeh, M; Kabdasli, I; Khademi, S; Sandoval, MA; Moussavi, SP; Malekdar, F; Gilhotra, V; Hashemi, M; Dehghani, MH</t>
  </si>
  <si>
    <t>Mousazadeh, Milad; Kabdasli, Isik; Khademi, Sara; Sandoval, Miguel Angel; Moussavi, Seyedeh Parvin; Malekdar, Fatemeh; Gilhotra, Vishakha; Hashemi, Marjan; Dehghani, Mohammad Hadi</t>
  </si>
  <si>
    <t>A critical review on the existing wastewater treatment methods in the COVID-19 era: What is the potential of advanced oxidation processes in combatting viral especially SARS-CoV-2?</t>
  </si>
  <si>
    <t>JOURNAL OF WATER PROCESS ENGINEERING</t>
  </si>
  <si>
    <t>The COVID-19 epidemic has put the risk of virus contamination in water bodies on the horizon of health authorities. Hence, finding effective ways to remove the virus, especially SARS-CoV-2, from wastewater treatment plants (WWTPs) has emerged as a hot issue in the last few years. Herein, this study first deals with the fate of SARS-CoV-2 genetic material in WWTPs, then critically reviews and compares different wastewater treatment methods for combatting COVID-19 as well as to increase the water quality. This critical review sheds light the efficiency of advanced oxidation processes (AOPs) to inactivate virus, specially SARS-CoV-2 RNA. Although several physicochemical treatment processes (e.g. activated sludge) are commonly used to eliminate pathogens, AOPs are the most versatile and effective virus inactivation methods. For instance, TiO2 is the most known and widely studied photo-catalyst innocuously utilized to degrade pollutants as well as to photo-induce bacterial and virus disinfection due to its high chemical resistance and efficient photo-activity. When ozone is dissolved in water and wastewater, it generates a wide spectrum of the reactive oxygen species (ROS), which are responsible to degrade materials in virus membranes resulting in destroying the cell wall. Furthermore, electrochemical advanced oxidation processes act through direct oxidation when pathogens react at the anode surface or by indirect oxidation through oxidizing species produced in the bulk solution. Consequently, they represent a feasible choice for the inactivation of a wide range of pathogens. Nonetheless, there are some challenges with AOPs which should be addressed for application at industrial-scale.</t>
  </si>
  <si>
    <t>Sandoval, Miguel A/JCF-1838-2023; Kabdaşlı, Işık/AAD-9127-2020; Mousazadehgavan, Milad/KTI-6446-2024; Mousazadehgavan, Milad/W-3041-2018; Hashemi, Marjan/N-8859-2018; Gilhotra, Vishakha/KYP-6385-2024</t>
  </si>
  <si>
    <t>Malekdar, Fatemeh/0000-0002-4527-3657; Mousazadehgavan, Milad/0000-0003-1464-3915; Hashemi, Marjan/0000-0002-5732-874X; Gilhotra, Vishakha/0000-0002-2644-238X</t>
  </si>
  <si>
    <t>2214-7144</t>
  </si>
  <si>
    <t>10.1016/j.jwpe.2022.103077</t>
  </si>
  <si>
    <t>WOS:000861356500010</t>
  </si>
  <si>
    <t>Agostinis-Sobrinho, C; Rosário, R; Santos, R; Norkiene, S; Mota, J; Rauckiene-Michaelsson, A; González-Ruíz, K; Izquierdo, M; Garcia-Hermoso, A; Ramírez-Vélez, R</t>
  </si>
  <si>
    <t>Agostinis-Sobrinho, Cesar; Rosario, Rafaela; Santos, Rute; Norkiene, Sigute; Mota, Jorge; Rauckiene-Michaelsson, Alona; Gonzalez-Ruiz, Katherine; Izquierdo, Mikel; Garcia-Hermoso, Antonio; Ramirez-Velez, Robinson</t>
  </si>
  <si>
    <t>Higher Cardiorespiratory Fitness Levels May Attenuate the Detrimental Association between Weight Status, Metabolic Phenotype and C-Reactive Protein in Adolescents-A Multi-Cohort Study</t>
  </si>
  <si>
    <t>Results from several studies show that only obese, unfit subjects, but not obese, fit subjects, are at higher mortality risk than are normal-weight fit subjects. The aim of the study was two-fold: (1) to examine the differences in C-reactive protein levels across different metabolic phenotypes (healthy and unhealthy) of weight status and (2) ascertain whether high levels of cardiorespiratory fitness (CRF) attenuate the association of C-reactive protein and metabolic phenotypes of weight status. This was a pooled study, which included data from three cross-sectional projects (1706 youth (921 girls) aged 12-18 years). We used a Shuttle run test to assess CRF. Adolescents were classified into six metabolic phenotypes (healthy and unhealthy) of weight status (non-overweight, overweight and obese), based on age- and sex-specific cutoff points for triglycerides, systolic blood pressure, HDL-cholesterol, glucose and body mass index. High-sensitivity assays were used to obtain the C-reactive protein as inflammatory biomarker. After adjustment for potential confounders (age, sex, pubertal stage and country), the analysis of covariance (ANCOVA) shows that C-reactive protein is directly associated with metabolic phenotypes of weight status. Subjects with obesity, regardless of their metabolic profile, had higher levels of C-reactive protein Z-score. In addition, (after adjustments for potential confounders) a two-way ANCOVA showed that high levels of CRF attenuated the associations of C-reactive protein levels in metabolic healthy non-overweight and in adolescents with obesity. In conclusion, higher CRF levels may attenuate the detrimental association between obesity and C-reactive protein independently of metabolic phenotype. Findings from this study are important for prevention, clinical practice on issues associated with adiposity and metabolic disorders.</t>
  </si>
  <si>
    <t>González-Ruíz, Katherine/CAA-4624-2022; García-Hermoso, Antonio/ADU-2591-2022; Agostinis Sobrinho, Cesar Aparecido/B-4971-2018; Ramirez-Velez, Robinson/D-5311-2016; Izquierdo, Mikel/A-4894-2010; Santos, Rute/A-6401-2012; Rosario, Rafaela/M-6077-2013; Garcia-Hermoso, Antonio/P-1857-2017; mota, jorge/B-2980-2013</t>
  </si>
  <si>
    <t>Agostinis Sobrinho, Cesar Aparecido/0000-0001-9104-9042; Ramirez-Velez, Robinson/0000-0003-3075-6960; Izquierdo, Mikel/0000-0002-1506-4272; Santos, Rute/0000-0002-7604-5753; Rosario, Rafaela/0000-0001-6986-0007; Garcia-Hermoso, Antonio/0000-0002-1397-7182; Gonzalez-Ruiz, Katherine/0000-0001-7518-0761; mota, jorge/0000-0001-7571-9181</t>
  </si>
  <si>
    <t>10.3390/nu12051461</t>
  </si>
  <si>
    <t>WOS:000542272700322</t>
  </si>
  <si>
    <t>Hu, CP; Kuiper, L; Harding, AK; Younes, G; Blumer, H; Ho, WCG; Enoto, T; Espinoza, CM; Gendreau, K</t>
  </si>
  <si>
    <t>Hu, Chin-Ping; Kuiper, Lucien; Harding, Alice K.; Younes, George; Blumer, Harsha; Ho, Wynn C. G.; Enoto, Teruaki; Espinoza, Cristobal M.; Gendreau, Keith</t>
  </si>
  <si>
    <t>A NICER View on the 2020 Magnetar-like Outburst of PSR J1846-0258</t>
  </si>
  <si>
    <t>We report on our monitoring of the strong-field magnetar-like pulsar PSR J1846-0258 with the Neutron Star Interior Composition Explorer (NICER) and the timing and spectral evolution during its outburst in 2020 August. Phase-coherent timing solutions were maintained from 2017 March through 2021 November, including a coherent solution throughout the outburst. We detected a large spin-up glitch of magnitude &amp; UDelta;&amp; nu;/&amp; nu; = 3 x 10(-6) at the start of the outburst and observed an increase in pulsed flux that reached a factor of more than 10 times the quiescent level, a behavior similar to that of the 2006 outburst. Our monitoring observations in 2020 June and July indicate that the flux was rising prior to the Swift announcement of the outburst on 2020 August 1. We also observed several sharp rises in the pulsed flux following the outburst and the flux reached quiescent level by 2020 November. The pulse profile was observed to change shape during the outburst, returning to the preoutburst shape by 2021. Spectral analysis of the pulsed emission of NICER data shows that the flux increases result entirely from a new blackbody component that gradually fades away while the power law remains nearly constant at its quiescent level throughout the outburst. Joint spectral analysis of NICER and simultaneous NuSTAR data confirms this picture. We discuss the interpretation of the magnetar-like outburst and origin of the transient thermal component in the context of both a pulsar-like and a magnetar-like model.</t>
  </si>
  <si>
    <t>Enoto, Teruaki/I-9948-2019; Hu, ChinPing/KEI-6275-2024; Espinoza, Cristobal/U-4428-2017</t>
  </si>
  <si>
    <t>Younes, George/0000-0002-7991-028X; Hu, Chin-Ping/0000-0001-8551-2002; Kuiper, Lucien/0000-0002-7889-6586; Gendreau, Keith/0000-0001-7115-2819; Enoto, Teruaki/0000-0003-1244-3100; Harding, Alice/0000-0001-6119-859X; Espinoza, Cristobal/0000-0003-2481-2348; Ho, Wynn/0000-0002-6089-6836</t>
  </si>
  <si>
    <t>10.3847/1538-4357/acd850</t>
  </si>
  <si>
    <t>WOS:001033394200001</t>
  </si>
  <si>
    <t>Ramírez-Vélez, R; Izquierdo, M; García-Hermoso, A; Ordoñez-Mora, LT; Cano-Gutierrez, C; Campo-Lucumí, F; Pérez-Sousa, MA</t>
  </si>
  <si>
    <t>Ramirez-Velez, Robinson; Izquierdo, Mikel; Garcia-Hermoso, Antonio; Ordonez-Mora, Leidy T.; Cano-Gutierrez, Carlos; Campo-Lucumi, Florelba; Angel Perez-Sousa, Miguel</t>
  </si>
  <si>
    <t>Sit to stand muscle power reference values and their association with adverse events in Colombian older adults</t>
  </si>
  <si>
    <t>Recently, a valid method to assess lower-body muscle power based on a sit-to-stand field test (STS) has been published. Our study aimed to describe lower-body muscle power in older individuals aged &gt;= 60 years and examine the relationship of muscle weakness with adverse events according to gender- and age-specific muscle weakness cut-off points. A total of 3689 Colombian older adults (57.6% women, age 69.1 +/- 6.9 years) from the 2015 Survey on Health, Well-Being, and Aging in Latin America and the Caribbean (SABE) participated in this study. Lower-body muscle power normalized to body mass was estimated by the five-repetitions STS test. Anthropometric, physical performance and clinical characteristics were collected. Age-specific percentiles using the LMS method, cut-off points and association with adverse events were calculated. Lower-body muscle power was greater in men than among women (2.2 +/- 0.7 vs. 1.6 +/- 0.5 W center dot kg(-1), respectively; p &lt; 0.001) at all ages. Muscle power ranked in the 50th percentile between 2.38 and 1.30 W center dot kg(-1) in men, whereas women ranked between 1.79 and 1.21 W center dot kg(-1). According to the cut-off points, lower-limb muscle power &lt; 1 standard deviation in men was associated with having dynapenia, poor gait speed, cognitive impairment and mental, visual, hearing and memory problems. While, women were associated with having sarcopenia, dynapenia, poor gait speed, cognitive impairment, mental, hearing and memory problems, dementia and hospitalizations of &gt; 24 h in the last year. Overall, participants with poor lower-limb muscle power had a significantly higher risk of adverse events [in men: odds ratio (OR) = 1.51, 95% confidence interval (CI) = 1.19-1.91, p &lt; 0.001; in women: OR = 1.52, 95% CI = 1.27-1.87, p = 0.001] than their stronger counterparts. This study is the first to describe lower-limb muscle power values and cut-off points among a nationally representative sample of Colombian older adults. In men, 7 of the 14 adverse events studied were associated with lower muscle strength, whereas in women, it was 9 of the 14 adverse events.</t>
  </si>
  <si>
    <t>Perez-Sousa, Miguel/M-5931-2019; García-Hermoso, Antonio/ADU-2591-2022; Ordoñez-Mora, Leidy Tatiana/AAL-6397-2021; Garcia-Hermoso, Antonio/P-1857-2017; Izquierdo, Mikel/A-4894-2010; Ramirez-Velez, Robinson/D-5311-2016</t>
  </si>
  <si>
    <t>Garcia-Hermoso, Antonio/0000-0002-1397-7182; Ordonez-Mora, Leidy Tatiana/0000-0001-8365-8155; Cano-Gutierrez, Carlos/0000-0001-5680-7880; Perez-Sousa, Miguel Angel/0000-0003-4392-6850; Izquierdo, Mikel/0000-0002-1506-4272; Ramirez-Velez, Robinson/0000-0003-3075-6960</t>
  </si>
  <si>
    <t>10.1038/s41598-022-15757-8</t>
  </si>
  <si>
    <t>WOS:000824910400034</t>
  </si>
  <si>
    <t>Ihle, A; Gouveia, BR; Gouveia, ER; Cheval, B; Nascimento, MD; Conceicao, L; Marconcin, P; Peralta, M; Ferrari, G; Oliveira, D; Kliegel, M</t>
  </si>
  <si>
    <t>Ihle, Andreas; Gouveia, Bruna R.; Gouveia, Elvio R.; Cheval, Boris; Nascimento, Marcelo de Maio; Conceicao, Lucia; Marconcin, Priscila; Peralta, Miguel; Ferrari, Gerson; Oliveira, Duarte; Kliegel, Matthias</t>
  </si>
  <si>
    <t>Physical Activity Dimensions Differentially Predict Physical and Mental Components of Health-Related Quality of Life: Evidence from a Sport for All Study</t>
  </si>
  <si>
    <t>The present cross-sectional study aimed to investigate the relationship between different dimensions of physical activity (PA) (i.e., work, sport, leisure) and health-related quality of life (HRQoL) (i.e., overall, physical component, mental component) in an adult lifespan sample of 381 active individuals (age range: 18-88 years; 38.8% men), while controlling for important covariates in terms of sex, age, education, and health profile regarding medical history. HRQoL was assessed using the 12-item Short-Form Health Survey (SF-12). Usual (i.e., previous 12 months) PA was assessed during face-to-face interviews using the Baecke questionnaire. Hierarchical regression analyses showed in Step 1 that the three PA dimensions work, sport, and leisure (entered simultaneously) together predicted 8%, 10%, and 4% of the variance in SF-12 total score, SF-12 physical component, and SF-12 mental component, respectively. In the final model, adjusting for sex, age, education, and health profile regarding medical history, sport emerged as the only PA dimension predicting SF-12 total score and the SF-12 physical component. In conclusion, health-policy targets at the community level should include the promotion of lifelong engagement in PA, especially sport, to allow the sustainability of HRQoL across the lifespan of our society.</t>
  </si>
  <si>
    <t>Ferrari, Gerson/ABG-6635-2021; Marconcin, Priscila/GRO-2708-2022; Conceicao, Luis/I-3037-2013; Peralta, Miguel/H-1666-2017; Gouveia, Elvio Rubio/F-9156-2015; Cheval, Boris/H-4574-2019; Gouveia, Bruna/B-3793-2016; Ferrari, Gerson/P-1152-2014</t>
  </si>
  <si>
    <t>Kliegel, Matthias/0000-0002-2001-2522; Peralta, Miguel/0000-0001-6072-6012; Gouveia, Elvio Rubio/0000-0003-0927-692X; Marconcin, Priscila/0000-0002-1295-0826; Cheval, Boris/0000-0002-6236-4673; Gouveia, Bruna/0000-0001-7706-190X; Ferrari, Gerson/0000-0003-3177-6576; Ihle, Andreas/0000-0001-9845-5190; de Maio Nascimento, Marcelo/0000-0002-3577-3439</t>
  </si>
  <si>
    <t>10.3390/su132313370</t>
  </si>
  <si>
    <t>WOS:000734647600001</t>
  </si>
  <si>
    <t>García, AM; Abrevaya, S; Kozono, G; Cordero, IG; Córdoba, M; Kauffman, MA; Pautassi, R; Muñoz, E; Sedeño, L; Ibáñez, A</t>
  </si>
  <si>
    <t>Garcia, Adolfo M.; Abrevaya, Sofia; Kozono, Giselle; Garcia Cordero, Indira; Cordoba, Marta; Andres Kauffman, Marcelo; Pautassi, Ricardo; Munoz, Edinson; Sedeno, Lucas; Ibanez, Agustin</t>
  </si>
  <si>
    <t>The cerebellum and embodied semantics: evidence from a case of genetic ataxia due to STUB1 mutations</t>
  </si>
  <si>
    <t>JOURNAL OF MEDICAL GENETICS</t>
  </si>
  <si>
    <t>Abrevaya, Sofia/KLC-9330-2024; Garcia, Adolfo/E-7150-2017; Pautassi, Ricardo Marcos/G-7261-2018; Ibanez, Agustin/H-7976-2015</t>
  </si>
  <si>
    <t>Garcia Cordero, Indira Ruth/0000-0001-9739-5018; Kauffman, Marcelo/0000-0003-1680-5092; Abrevaya, Sofia/0000-0003-4091-9962; Garcia, Adolfo/0000-0002-6936-0114; Pautassi, Ricardo Marcos/0000-0003-1876-2321; Cordoba, Marta/0000-0002-2814-1636; Ibanez, Agustin/0000-0001-6758-5101</t>
  </si>
  <si>
    <t>0022-2593</t>
  </si>
  <si>
    <t>1468-6244</t>
  </si>
  <si>
    <t>10.1136/jmedgenet-2016-104148</t>
  </si>
  <si>
    <t>WOS:000395523600008</t>
  </si>
  <si>
    <t>Kogan, B; García-Marco, E; Birba, A; Cortés, C; Melloni, M; Ibáñez, A; García, AM</t>
  </si>
  <si>
    <t>Kogan, Boris; Garcia-Marco, Enrique; Birba, Agustina; Cortes, Camila; Melloni, Margherita; Ibanez, Agustin; Garcia, Adolfo M.</t>
  </si>
  <si>
    <t>How words ripple through bilingual hands: Motor-language coupling during L1 and L2 writing</t>
  </si>
  <si>
    <t>NEUROPSYCHOLOGIA</t>
  </si>
  <si>
    <t>The speed of our hand movements can be affected by concurrent processing of manual action verbs (MaVs). Whereas this phenomenon is well established for native languages (L1s), it remains underexplored in late foreign languages (L2s), especially during highly automatized tasks. Here we timed keystroke activity while Spanish English bilinguals copied MaVs, non-manual action verbs, and non-action verbs in their L1 and L2. Motor planning and execution dynamics were indexed by first-letter lag (the time-lapse between word presentation and first keystroke) and whole-word lag (the time-lapse between first and last keystroke), respectively. Despite yielding no effects on motor planning, MaVs facilitated typing execution in L1 but delayed it in L2, irrespective of the subjects' typing skills, age of L2 learning, and L2 competence. Therefore, motor-language coupling effects seem to be present in both languages though they can arise differently in each. These results extend language grounding models, illuminating the role of embodied mechanisms throughout life.</t>
  </si>
  <si>
    <t>García, Adolfo/E-7150-2017; García Marco, Enrique/ABO-8279-2022; Kogan, Boris/HPD-5180-2023; Birba, Agustina/AFR-3037-2022; Ibanez, Agustin/H-7976-2015</t>
  </si>
  <si>
    <t>Ibanez, Agustin/0000-0001-6758-5101; Kogan, Boris/0000-0002-5844-6203; Birba, Agustina/0000-0001-5998-6634</t>
  </si>
  <si>
    <t>0028-3932</t>
  </si>
  <si>
    <t>1873-3514</t>
  </si>
  <si>
    <t>10.1016/j.neuropsychologia.2020.107563</t>
  </si>
  <si>
    <t>WOS:000573020100007</t>
  </si>
  <si>
    <t>Moreira-Arce, D; Vergara, PM; Boutin, S; Carrasco, G; Briones, R; Soto, GE; Jiménez, JE</t>
  </si>
  <si>
    <t>Moreira-Arce, Dario; Vergara, Pablo M.; Boutin, Stan; Carrasco, Gonzalo; Briones, Raul; Soto, Gerardo E.; Jimenez, Jaime E.</t>
  </si>
  <si>
    <t>Mesocarnivores respond to fine-grain habitat structure in a mosaic landscape comprised by commercial forest plantations in southern Chile</t>
  </si>
  <si>
    <t>Understanding how species respond to habitat structure in landscapes transformed by human activities is crucial to design management strategies that promote the conservation of wildlife in human-created lands. The aim of this study was to test the ecological hypothesis that fine-grain habitat structure may be an important determinant of habitat use of medium-size predators across transformed landscapes when comparing with coarse habitat classification. We assess habitat use of species by using occupancy modeling framework accounting for imperfect detection, and obtained three LiDAR-derived vegetation metrics at different scale to describe the fine-grain habitat structure in a landscape comprised by native forest and exotic tree plantations in central-south Chile. Four species were detected: Lycalopex culpaeus, L. griseus, L. fulvipes and Leopard us guigna, L. culpaeus and L. griseus largely occurred throughout the study area (psi = 0.54 +/- 0.08 and 0.18 +/- 0.04). Coefficients of the better-ranked models based on MC indicated a positive relation between understory cover at 250 m scale and the habitat use of L. fulvipes, L. guigna and L. griseus, while a negative relation with the habitat use of L. culpaeus. On the other hand, habitat use of L fulvipes and L. guigna increased as structural diversity of forest increased while the habitat use of L. culpaeus and L. griseus decreased. Low support was found for the habitat use of L. guigna and L. culpeus being affected by habitat type (plantation or native forest). Our results showed that habitat use of these mesocarnivores responded to fine-grain habitat structure attributes as derived from LiDAR, but only some of them responded weakly to habitat type. Both results indicate that understory structure, and not a coarse classification of habitat type, may be better determinants for explaining the habitat use of native carnivores in this landscape comprised by native habitat and forest plantations. Our results can be extended to sustainable management of forest plantations for carnivore conservation by enhancing the vegetation structure of native shrub species within these production-oriented lands. (C) 2016 Elsevier B.V. All rights reserved.</t>
  </si>
  <si>
    <t>Briones, Raúl/D-1798-2011; Soto, Gerardo/JAX-4165-2023; Moreira-Arce, Dario/ABG-2898-2021; Vergara, Pablo/F-2519-2010; Jimenez, Jaime/AAO-7531-2020; Boutin, Stan/A-2619-2014</t>
  </si>
  <si>
    <t>Moreira Arce, Dario/0000-0002-1188-496X; Soto, Gerardo/0000-0002-9706-6588; Boutin, Stan/0000-0001-6317-038X; Vergara, Pablo/0000-0002-0024-1678</t>
  </si>
  <si>
    <t>10.1016/j.foreco.2016.03.024</t>
  </si>
  <si>
    <t>WOS:000375169500014</t>
  </si>
  <si>
    <t>Zurlo, A; Garufi, A; Pérez, S; Alves, FO; Girart, JM; Zhu, ZH; Franco, GAP; Cleeves, LI</t>
  </si>
  <si>
    <t>Zurlo, Alice; Garufi, Antonio; Perez, Sebastian; Alves, Felipe O.; Girart, Josep M.; Zhu, Zhaohuan; Franco, Gabriel A. P.; Cleeves, L. Ilsedore</t>
  </si>
  <si>
    <t>Near-IR Observations of the Young Star [BHB2007]-1: A Substellar Companion Opening the Gap in the Disk</t>
  </si>
  <si>
    <t>The presence of planets or substellar objects still embedded in their native protoplanetary disks is indirectly suggested by disk substructures like gaps, cavities, and spirals. However, these companions are rarely detected. We present Very Large Telescope/NACO high-contrast images in the J, H, K-S, and L' bands of the young star [BHB2007]-1 probing the inclined disk in scattered light and revealing the probable presence of a companion. The point source is detected in the L' band in spatial correspondence with complementary Very Large Array observations. This object is constrained to have a mass in the range of 37-47 M-Jup and is located at 50 au from the central star, inside the 70 au-large disk cavity recently imaged by the Atacama Large Millimeter/submillimeter Array (ALMA), that is absent from our NACO data (down to 20 au). This mass range is compatible with the upper end derived from the size of the ALMA cavity. The NIR disk brightness is highly asymmetric around the minor axis, with the southern side 5.5 times brighter than the northern side. The constant amount of asymmetry across all wavelengths suggests that it is due to a shadow cast by a misaligned inner disk. The massive companion that we detect could, in principle, explain the possible disk misalignment, as well as the different cavity sizes inferred by the NACO and ALMA observations. The confirmation and characterization of the companion is entrusted to future observations.</t>
  </si>
  <si>
    <t>Zurlo, Alice/Q-5011-2019; Girart, Josep/P-3931-2019; Alves, Felipe/KJL-9543-2024; Pérez, Sebastián/AAS-5857-2020; Franco, Gabriel A. P./A-8009-2011; Girart, Josep Miquel/O-1638-2014</t>
  </si>
  <si>
    <t>zhu, zhaohuan/0000-0003-3616-6822; Garufi, Antonio/0000-0002-4266-0643; Cleeves, L. Ilsedore/0000-0003-2076-8001; Zurlo, Alice/0000-0002-5903-8316; Franco, Gabriel A. P./0000-0003-2020-2649; Girart, Josep Miquel/0000-0002-3829-5591; Perez, Sebastian/0000-0003-2953-755X</t>
  </si>
  <si>
    <t>10.3847/1538-4357/abec42</t>
  </si>
  <si>
    <t>WOS:000648720200001</t>
  </si>
  <si>
    <t>Jereil, SD; Shankar, SM; Sudhakar, K; Arumugam, G; Annamalai, P; Dhanalakshmi, R; Sreekanth, TVM; Alarifi, A</t>
  </si>
  <si>
    <t>Jereil, S. David; Shankar, S. M.; Sudhakar, K.; Arumugam, Ganeshkumar; Annamalai, Padmanaban; Dhanalakshmi, Radhalayam; Sreekanth, T. V. M.; Alarifi, Abdullah</t>
  </si>
  <si>
    <t>Effect of Cu-ZnO nanoparticles on the photocatalytic degradation of reactive red 120</t>
  </si>
  <si>
    <t>Reactive red 120 is a hazardous textile dye that poses a significant threat to the environment and living organisms due to its recalcitrance and hazardous nature. This study explores the photocatalytic degradation performance of RR120 of copper-zinc oxide (Cu-ZnO) nanoparticles, synthesized using the ultrasound-assisted coprecipitation method. The physicochemical properties of the prepared nanoparticles were investigated using various analytical techniques. Cu-ZnO exhibits a hexagonal wurtzite structure of ZnO along with a minor monoclinic CuO structure. FESEM images of Cu-ZnO showed that hexagonal ZnO nanobolts and nanorods, which are due to Cu incorporation, promote crystal growth, improve optical absorption in the visible region, and increase the separation of photogenerated carriers. The band gap energy of 5% Cu-ZnO was estimated to be 2.86 eV, which is less than that of ZnO (3.17 eV). 5% Cu-ZnO demonstrates an enhanced photocatalytic degradation of RR120, achieving more than 99% with a kinetic rate of 0.013 min-1. Reusability studies confirm that 5% Cu-ZnO is stable with similar performance over multiple cycles. The increased photocatalytic activity of 5% Cu-ZnO is attributed to the introduction of Cu, which act as electron traps, suppress charge recombination, and extend the lifetime of charge carriers. This study underscores the potential of Cu-ZnO as a promising photocatalyst for RR120 degradation, offering an efficient and sustainable approach to the treatment of dye wastewater.</t>
  </si>
  <si>
    <t>Annamalai, Padmanaban/AAX-1329-2021; Arumugam, Ganeshkumar/ABC-5218-2020; Sreekanth, TVM/KIL-3043-2024</t>
  </si>
  <si>
    <t>10.1016/j.surfin.2024.105579</t>
  </si>
  <si>
    <t>WOS:001389205900001</t>
  </si>
  <si>
    <t>Abalo, L; Kretschmar, P; Fürst, F; Diez, CM; El Mellah, I; Grinberg, V; Guainazzi, M; Martinez-Núñez, S; Manousakis, A; Amato, R; Zhou, M; Beijersbergen, MW</t>
  </si>
  <si>
    <t>Abalo, L.; Kretschmar, P.; Furst, F.; Diez, C. M.; El Mellah, I.; Grinberg, V.; Guainazzi, M.; Martinez-Nunez, S.; Manousakis, A.; Amato, R.; Zhou, M.; Beijersbergen, M. W.</t>
  </si>
  <si>
    <t>Variable structures in the stellar wind of the HMXB Vela X-1</t>
  </si>
  <si>
    <t>Context. Strong stellar winds are an important feature in wind-accreting high-mass X-ray binary (HMXB) systems. Exploring their structure provides valuable insights into stellar evolution and their influence on surrounding environments. However, the long-term evolution and temporal variability of these wind structures are not fully understood. Aims. This work probes the archetypal wind-accreting HMXB Vela X-1 using the Monitor of All-sky X-ray Image (MAXI) instrument to study the orbit-to-orbit absorption variability in the 2 - 10 keV energy band across more than 14 years of observations. Additionally, the relationship between hardness ratio trends in different binary orbits and the spin state of the neutron star is investigated. Methods. We calculated X-ray hardness ratios to track absorption variability, comparing flux changes across various energy bands, as the effect of absorption on the flux is energy-dependent. We assessed variability by comparing the hardness ratio trends in our sample of binary orbits to the long-term averaged hardness ratio evolution derived from all available MAXI data. Results. Consistent with prior research, the long-term averaged hardness ratio evolution shows a stable pattern. However, the examination of individual binary orbits reveals a different hardness ratio evolution between consecutive orbits with no evident periodicity within the observed time span. We find that fewer than half of the inspected binary orbits align with the long-term averaged hardness evolution. Moreover, neutron star spin-up episodes exhibit more harder-than-average hardness trends compared to spin-down episodes, although their distributions overlap considerably. Conclusions. The long-term averaged hardness ratio dispersion and evolution are consistent with absorption column densities reported in literature from short observations, indicating that a heterogeneous wind structure - from accretion wakes to individual wind clumps - likely drives these variations. The variability observed from orbit to orbit suggests that pointed X-ray observations provide limited insights into the overall behaviour of the wind structure. Furthermore, the link between the spin state of the neutron star and the variability in orbit-to-orbit hardness trends highlights the impact of accretion processes on absorption. This connection suggests varying accretion states influenced by fluctuations in stellar wind density.</t>
  </si>
  <si>
    <t>Beijersbergen, Marco/C-8715-2009; Guainazzi, Matteo/GYJ-1668-2022</t>
  </si>
  <si>
    <t>Guainazzi, Matteo/0000-0002-1094-3147; EL MELLAH, Ileyk/0000-0003-1075-0326; Diez, Camille/0000-0001-6520-4600</t>
  </si>
  <si>
    <t>A188</t>
  </si>
  <si>
    <t>10.1051/0004-6361/202450168</t>
  </si>
  <si>
    <t>WOS:001376695600004</t>
  </si>
  <si>
    <t>Peña-Jorquera, H; Martínez-Flores, R; Espinoza-Puelles, JP; López-Gil, JF; Ferrari, G; Zapata-Lamana, R; Lofrano-Prado, MC; Landaeta-Díaz, L; Cigarroa, I; Durán-Agüero, S; Cristi-Montero, C</t>
  </si>
  <si>
    <t>Pena-Jorquera, Humberto; Martinez-Flores, Ricardo; Espinoza-Puelles, Juan Pablo; Lopez-Gil, Jose Francisco; Ferrari, Gerson; Zapata-Lamana, Rafael; Lofrano-Prado, Mara Cristina; Landaeta-Diaz, Leslie; Cigarroa, Igor; Duran-Aguero, Samuel; Cristi-Montero, Carlos</t>
  </si>
  <si>
    <t>Adolescents with a Favorable Mediterranean-Style-Based Pattern Show Higher Cognitive and Academic Achievement: A Cluster Analysis-The Cogni-Action Project</t>
  </si>
  <si>
    <t>A Mediterranean diet (MedDiet) has emerged as a crucial dietary choice, not only in attenuating various adolescents' metabolic health issues but it has also been associated with improved cognitive and academic achievement. However, few studies have established patterns of food consumption linked to both cognitive and academic achievement in adolescents living in a developing country with non-Mediterranean-based food. Methods: This cross-sectional study included 1296 Chilean adolescents (50% girls) aged 10-14 years. The MedDiet Quality Index was used to assess adherence to the MedDiet in children and adolescents. Through cluster analysis, four distinct dietary patterns were identified: Western diet (WD = 4.3%); low fruit and vegetables, high-sugar diet (LFV-HSD = 28.2%); low fruit and vegetables, low-sugar diet (LFV-LSD = 42.2%); and the MedDiet (25.3%). A mixed-model analysis was conducted to compare these clusters and their relationships with cognitive and academic achievements. Principal component analysis was performed to identify four primary cognitive domains: working memory, cognitive flexibility, inhibitory control, and fluid reasoning. Academic achievement was determined with five school subjects (Language, English, Mathematics, Science, and History) and included the Academic-PISA score derived from the mean scores in Language, Mathematics, and Science. Results: A marked difference was observed between the four clusters, which was mainly related to the consumption of sugar, ultra-processed foods, fruits, and vegetables. According to cognitive performance, the MedDiet group showed higher performance across all domains than the LFV-HSD, LFV-LSD, and WD groups. Regarding academic achievement, the WD underperformed in all analyses compared to the other groups, while the MedDiet was the unique profile that achieved a positive difference in all academic subjects compared to the WD and LFV-HSD groups (p &lt; 0.05). Conclusions: These findings suggest that higher adherence to Mediterranean-style-based patterns and better food quality choices are associated with improved cognitive and academic achievements.</t>
  </si>
  <si>
    <t>Landaeta-Díaz, Leslie/ABG-6079-2021; Agüero, Samuel/AAZ-6140-2020; cigarroa, igor/AAV-3527-2020; Ferrari, Gerson/HHM-6173-2022; Cristi-Montero, Carlos/AAE-4945-2020; López-Gil, José Francisco/AAN-5618-2020; Lofrano-Prado, Mara Cristina/Y-5628-2019; Ferrari, Gerson/P-1152-2014</t>
  </si>
  <si>
    <t>Cigarroa, Igor/0000-0003-0418-8787; Espinoza-Puelles, Juan Pablo/0009-0004-3192-5070; Martinez-Flores, Ricardo/0000-0002-8435-2710; Zapata-Lamana, Rafael/0000-0002-4729-1680; Pena-Jorquera, Humberto/0009-0001-4572-7364; Lopez-Gil, Jose Francisco/0000-0002-7412-7624; Landaeta-Diaz, Leslie/0000-0001-8970-1150; Lofrano-Prado, Mara Cristina/0000-0002-8296-3024; Ferrari, Gerson/0000-0003-3177-6576; DURAN AGUERO, SAMUEL/0000-0002-0548-3676; Cristi-Montero, Carlos/0000-0002-9940-507X</t>
  </si>
  <si>
    <t>10.3390/nu16050608</t>
  </si>
  <si>
    <t>WOS:001183439400001</t>
  </si>
  <si>
    <t>Zupanska, AK; Arena, C; Zuniga, GE; Casanova-Katny, A; Turnbull, JD; Bravo, LA; Ramos, P; Sun, H; Shishov, VV</t>
  </si>
  <si>
    <t>Zupanska, Agata K.; Arena, Carmen; Zuniga, Gustavo E.; Casanova-Katny, Angelica; Turnbull, Johanna D.; Bravo, Leon A.; Ramos, Patricio; Sun, Hang; Shishov, Vladimir V.</t>
  </si>
  <si>
    <t>Editorial: Revisiting the limits of plant life - plant adaptations to extreme terrestrial environments relating to astrobiology and space biology</t>
  </si>
  <si>
    <t>Bravo, León/AAO-8437-2020; Shishov, Vladimir/I-6256-2013; Casanova-Katny, Angelica/M-3994-2014; Arena, Carmen/AAF-6863-2020; Zuñiga, Gustavo/P-8306-2015; Ramos, Patricio/B-6665-2017</t>
  </si>
  <si>
    <t>Turnbull, Johanna/0000-0002-4214-1675; Ramos, Patricio/0000-0001-8341-314X</t>
  </si>
  <si>
    <t>AUG 17</t>
  </si>
  <si>
    <t>10.3389/fpls.2023.1267183</t>
  </si>
  <si>
    <t>WOS:001059733100001</t>
  </si>
  <si>
    <t>Leme, ACB; Fisberg, RM; de Mello, AV; Sales, CH; Ferrari, G; Haines, J; Rigotti, A; Gómez, G; Kovalskys, I; Sanabria, LYC; Herrera-Cuenca, M; Garcia, MCY; Pareja, RG; Fisberg, M</t>
  </si>
  <si>
    <t>Barco Leme, Ana Carolina; Fisberg, Regina Mara; Veroneze de Mello, Aline; Sales, Cristiane Hermes; Ferrari, Gerson; Haines, Jess; Rigotti, Attilo; Gomez, Georgina; Kovalskys, Irina; Cortes Sanabria, Lilia Yadira; Herrera-Cuenca, Marianella; Yepez Garcia, Martha Cecilia; Pareja, Rossina G.; Fisberg, Mauro</t>
  </si>
  <si>
    <t>Food Sources of Shortfall Nutrients among Latin Americans: Results from the Latin American Study of Health and Nutrition (ELANS)</t>
  </si>
  <si>
    <t>Increased consumption of energy-dense, nutrient-poor foods can lead to inadequate intakes of shortfall nutrients, including vitamin A, D, C, and E, dietary folate, calcium, iron, magnesium, potassium, and fiber. The objective was to examine the prevalence of inadequate intake of shortfall nutrients and identify food sources of shortfall nutrients in eight Latin American countries. Data from ELANS, a multi-country, population-based study of 9218 adolescents and adults were used. Dietary intake was collected through two 24 h Recalls from participants living in urban areas of Argentina, Brazil, Chile, Colombia, Ecuador, Peru, and Venezuela. Foods and beverages were classified using the adapted version of the NHANES What We Eat in America system. Nutrients inadequacy was estimated using the Institute of Medicine recommendations and descriptive statistics were calculated. Prevalence of inadequacy was above 50% for most of the nutrients, which the exception of vitamin C with a prevalence of inadequacy of 39%. Milk, cheese, seafoods, breads, and fruit juices/drinks were among the top 5 sources for each of the 10 shortfall nutrients examined. Many food categories were top contributors to more than one dietary component examined. Understanding the nutrient intake and food sources can help inform dietary guidance and intervention approaches.</t>
  </si>
  <si>
    <t>Cortes, Lilia/AAF-2960-2019; Mello, Aline/AAX-6965-2021; Gomez, Georgina/AAR-7272-2020; Ferrari, Gerson/ABG-6635-2021; Fisberg, Regina/Q-6494-2019; Ferrari, Gerson/P-1152-2014; Sales, Cristiane/C-6209-2012; Pareja, Rossina/D-9892-2018; Fisberg, Mauro/E-7149-2010; Barco Leme, Ana Carolina/H-3619-2015; Fisberg, Regina/C-4069-2012</t>
  </si>
  <si>
    <t>Ferrari, Gerson/0000-0003-3177-6576; Mello, Aline/0000-0002-1958-6916; Sales, Cristiane/0000-0001-8474-2439; Yepez, Martha Cecilia/0000-0003-4119-238X; Gomez, Georgina/0000-0003-3514-2984; Pareja, Rossina/0000-0001-7523-3181; Fisberg, Mauro/0000-0003-2992-3215; Barco Leme, Ana Carolina/0000-0003-2782-4301; Kovalskys, Irina/0000-0001-8481-5415; Fisberg, Regina/0000-0002-4490-9035; Cortes, Lilia Yadira/0000-0003-2789-3219</t>
  </si>
  <si>
    <t>10.3390/ijerph18094967</t>
  </si>
  <si>
    <t>WOS:000650259500001</t>
  </si>
  <si>
    <t>Mendoza-Arenas, JJ; Clark, SR; Felicetti, S; Romero, G; Solano, E; Angelakis, DG; Jaksch, D</t>
  </si>
  <si>
    <t>Mendoza-Arenas, J. J.; Clark, S. R.; Felicetti, S.; Romero, G.; Solano, E.; Angelakis, D. G.; Jaksch, D.</t>
  </si>
  <si>
    <t>Beyond mean-field bistability in driven-dissipative lattices: Bunching-antibunching transition and quantum simulation</t>
  </si>
  <si>
    <t>In the present work we investigate the existence of multiple nonequilibrium steady states in a coherently driven XY lattice of dissipative two-level systems. A commonly used mean-field ansatz, in which spatial correlations are neglected, predicts a bistable behavior with a sharp shift between low- and high-density states. In contrast one-dimensional matrix product methods reveal these effects to be artifacts of the mean-field approach, with both disappearing once correlations are taken fully into account. Instead, a bunching-antibunching transition emerges. This indicates that alternative approaches should be considered for higher spatial dimensions, where classical simulations are currently infeasible. Thus we propose a circuit QED quantum simulator implementable with current technology to enable an experimental investigation of the model considered.</t>
  </si>
  <si>
    <t>Felicetti, Simone/X-3768-2019; Jaksch, Dieter/F-1964-2010; Angelakis, Dimitris/P-2364-2014; Solano, Enrique/C-2895-2017; Romero, Guillermo/C-8245-2009; Felicetti, Simone/HDM-7753-2022; Clark, Stephen/G-5368-2012</t>
  </si>
  <si>
    <t>Romero, Guillermo/0000-0003-2917-7814; Felicetti, Simone/0000-0003-0447-5380; Mendoza Arenas, Juan Jose/0000-0002-2214-334X; Clark, Stephen/0000-0002-2072-7499; SOLANO VILLANUEVA, ENRIQUE LEONIDAS/0000-0002-8602-1181; Angelakis, Dimitris/0000-0001-6763-6060</t>
  </si>
  <si>
    <t>10.1103/PhysRevA.93.023821</t>
  </si>
  <si>
    <t>WOS:000370243800018</t>
  </si>
  <si>
    <t>Cervetto, S; Díaz-Rivera, M; Petroni, A; Birba, A; Caro, MM; Sedeño, L; Ibáñez, A; García, AM</t>
  </si>
  <si>
    <t>Cervetto, Sabrina; Diaz-Rivera, Mariano; Petroni, Agustin; Birba, Agustina; Caro, Miguel Martorell; Sedeno, Lucas; Ibanez, Agustin; Garcia, Adolfo M.</t>
  </si>
  <si>
    <t>The Neural Blending of Words and Movement: Event-Related Potential Signatures of Semantic and Action Processes during Motor-Language Coupling</t>
  </si>
  <si>
    <t>JOURNAL OF COGNITIVE NEUROSCIENCE</t>
  </si>
  <si>
    <t>Behavioral embodied research shows that words evoking limb-specific meanings can affect responses performed with the corresponding body part. However, no study has explored this phenomenon's neural dynamics under implicit processing conditions, let alone by disentangling its conceptual and motoric stages. Here, we examined whether the blending of hand actions and manual action verbs, relative to nonmanual action verbs and nonaction verbs, modulates electrophysiological markers of semantic integration (N400) and motor-related cortical potentials during a lexical decision task. Relative to both other categories, manual action verbs involved reduced posterior N400 amplitude and greater modulations of frontal motor-related cortical potentials. Such effects overlapped in a window of similar to 380-440 msec after word presentation and similar to 180 msec before response execution, revealing the possible time span in which both semantic and action-related stages reach maximal convergence. These results allow refining current models of motor-language coupling while affording new insights on embodied dynamics at large.</t>
  </si>
  <si>
    <t>Birba, Agustina/AFR-3037-2022; Molina, Miguel/AAB-8582-2020; García, Adolfo/E-7150-2017; Ibanez, Agustin/H-7976-2015</t>
  </si>
  <si>
    <t>Ibanez, Agustin/0000-0001-6758-5101; Birba, Agustina/0000-0001-5998-6634</t>
  </si>
  <si>
    <t>0898-929X</t>
  </si>
  <si>
    <t>1530-8898</t>
  </si>
  <si>
    <t>10.1162/jocn_a_01732</t>
  </si>
  <si>
    <t>WOS:000840882100002</t>
  </si>
  <si>
    <t>del Pozo-Cruz, J; García-Hermoso, A; Alfonso-Rosa, RM; Alvarez-Barbosa, F; Owen, N; Chastin, S; del Pozo-Cruz, B</t>
  </si>
  <si>
    <t>del Pozo-Cruz, Jesus; Garcia-Hermoso, Antonio; Alfonso-Rosa, Rosa M.; Alvarez-Barbosa, Francisco; Owen, Neville; Chastin, Sebastien; del Pozo-Cruz, Borja</t>
  </si>
  <si>
    <t>Replacing Sedentary Time: Meta-analysis of Objective-Assessment Studies</t>
  </si>
  <si>
    <t>AMERICAN JOURNAL OF PREVENTIVE MEDICINE</t>
  </si>
  <si>
    <t>Context: The aim was to summarize estimates of the potential benefits for cardiometabolic risk markers and all-cause mortality of replacing time spent in sedentary behaviors with light-intensity physical activity or with moderate to vigorous physical activity, from studies using device-based measurement. Evidence acquisition: Four databases covering the period up to December 2016 were searched and analyzed (February 2017). Data were extracted by two independent reviewers. For the meta analyses, the estimated regression coefficients (Is) and 95% CIs were analyzed for BMI, waist circumference, and high-density lipoprotein cholesterol. Pooled relative rate and 95% CIs were calculated for fasting glucose, fasting insulin, and homeostatic model assessment-insulin resistance values. Hazard ratios were extracted from studies of all-cause mortality risk. Evidence synthesis: Ten studies (with 17,390 participants) met the inclusion criteria. Reallocation of 30 minutes of sedentary time to light-intensity physical activity was associated with reductions in waist circumference, fasting insulin, and all-cause mortality risk; and with an increase in high-density lipoprotein cholesterol. Reallocating 30 minutes of sedentary time to moderate to vigorous physical activity was associated with reductions in BMI, waist circumference, fasting glucose, fasting insulin, and all-cause mortality (not pooled) and with an increase in high-density lipoprotein cholesterol. Conclusions: Replacing sedentary time with either light-intensity physical activity or moderate to vigorous physical activity may be beneficial, but when sedentary time is replaced with moderate to vigorous physical activity, the predicted impacts are stronger and apparent for a broader range of risk markers. These findings point to potential benefits of replacing sedentary time with light-intensity physical activity, which may benefit those less able to tolerate or accommodate higher-intensity activities, including many older adults.</t>
  </si>
  <si>
    <t>Álvarez Barbosa, Francisco/KAM-7315-2024; Owen, Neville/IXN-9070-2023; Chastin, Sebastien/ABF-1455-2020; García-Hermoso, Antonio/ADU-2591-2022; Rosa, Rosa/AAG-8502-2019; del Pozo-Cruz, Jesus/F-9934-2016; Garcia-Hermoso, Antonio/P-1857-2017; del Pozo Cruz, Borja/IAM-4325-2023</t>
  </si>
  <si>
    <t>Chastin, Sebastien/0000-0003-1421-9348; Alfonso Rosa, Rosa Maria/0000-0002-4447-0659; del Pozo Cruz, Borja/0000-0002-9728-1317; del Pozo-Cruz, Jesus/0000-0002-8553-5818; Garcia-Hermoso, Antonio/0000-0002-1397-7182; del Pozo Cruz, Borja/0000-0003-3944-2212; Alvarez-Barbosa, Francisco/0000-0001-9107-0618</t>
  </si>
  <si>
    <t>0749-3797</t>
  </si>
  <si>
    <t>1873-2607</t>
  </si>
  <si>
    <t>10.1016/j.amepre.2018.04.042</t>
  </si>
  <si>
    <t>WOS:000441735300018</t>
  </si>
  <si>
    <t>Energy saving potential analysis applying factory scale energy audit-A case study of food production ( vol 9, e14216 , 2023 )</t>
  </si>
  <si>
    <t>Abuashour, Mohammad/J-2992-2019; Muyeen, S M/GQA-7738-2022; Hasanuzzaman, Md/H-1242-2015; Khalid, Haris M./T-5118-2017; Said Khan, Zafar/C-4086-2016</t>
  </si>
  <si>
    <t>Khalid, Haris M./0000-0002-1136-6433; Said Khan, Zafar/0000-0003-2376-9309</t>
  </si>
  <si>
    <t>e16551</t>
  </si>
  <si>
    <t>10.1016/j.heliyon.2023.e16551</t>
  </si>
  <si>
    <t>WOS:001049085000001</t>
  </si>
  <si>
    <t>Scivoletto, S; Fondello, MA; Otoch, LN; Celeri, EHRV; Caetano, SC; Graeff-Martins, AS; Rosario, MC; Pallia, R; Gutiérrez, A; Valdivia, M; Viola, L; Polanczyk, GV</t>
  </si>
  <si>
    <t>Scivoletto, Sandra; Fondello, Marina A.; Otoch, Luara N.; Valler Celeri, Eloisa H. R.; Caetano, Sheila C.; Graeff-Martins, Ana Soledade; Rosario, Maria Conceicao; Pallia, Roberto; Gutierrez, Adriana; Valdivia, Mario; Viola, Laura; Polanczyk, Guilherme V.</t>
  </si>
  <si>
    <t>Child and adolescent psychiatry training in Brazil, Argentina, Uruguay and Chile: current panorama and future challenges</t>
  </si>
  <si>
    <t>EUROPEAN CHILD &amp; ADOLESCENT PSYCHIATRY</t>
  </si>
  <si>
    <t>Mental disorders affect approximately 10-15% of children and adolescents worldwide. In South America these numbers are probably higher due to poverty and adverse life events that frequently affect this region. The availability of qualified services and well-trained professionals to care for those children are by far insufficient. The aim of this study was to assess and describe child and adolescent psychiatry (CAP) training in Brazil, Argentina, Uruguay, and Chile, to support the development and strengthen training standards. The coordinators of CAP residency programs in Brazil, Argentina, Uruguay, and Chile were invited to answer an online questionnaire about the characteristics of their training programs. Twelve programs from Brazil, three programs from Chile, two from Argentina, and one from Uruguay completed the questionnaires. In the last three countries, CAP is recognized as an independent specialty, while in Brazil it is considered a subspecialty of psychiatry. None of the countries have a national guideline for CAP residency training. Recently, there has been an increase in the number of professionals interested in pursuing a formal CAP training. This is the first study aiming to evaluate the current scenario of CAP training in South America. The results point to a great potential in the evaluated programs, but also to the need for homogeneous criteria for CAP training and evaluation of residents. A more efficient communication among programs would be an enriching strategy for their development, which may be facilitated by the results of this study.</t>
  </si>
  <si>
    <t>Graeff-Martins, Ana/K-1974-2012; Celeri, Eloisa/AAJ-9979-2021; Scivoletto, Sandra/K-2917-2016; Polanczyk, Guilherme V./C-2345-2012; Caetano, Sheila C./H-5010-2012; Rosario, Maria Conceicao/E-5213-2012</t>
  </si>
  <si>
    <t>Polanczyk, Guilherme V./0000-0003-2311-3289; Caetano, Sheila C./0000-0001-8403-7078; Celeri, Eloisa Helena Rubello Valler/0000-0001-9849-9214; Rosario, Maria Conceicao/0000-0002-9687-0072</t>
  </si>
  <si>
    <t>1018-8827</t>
  </si>
  <si>
    <t>1435-165X</t>
  </si>
  <si>
    <t>10.1007/s00787-019-01454-x</t>
  </si>
  <si>
    <t>WOS:000500602800002</t>
  </si>
  <si>
    <t>Valdés-Badilla, P; Guzmán-Muñoz, E; Hernandez-Martinez, J; Núñez-Espinosa, C; Delgado-Floody, P; Herrera-Valenzuela, T; Branco, BHM; Zapata-Bastias, J; Nobari, H</t>
  </si>
  <si>
    <t>Valdes-Badilla, Pablo; Guzman-Munoz, Eduardo; Hernandez-Martinez, Jordan; Nunez-Espinosa, Cristian; Delgado-Floody, Pedro; Herrera-Valenzuela, Tomas; Branco, Braulio Henrique Magnani; Zapata-Bastias, Jose; Nobari, Hadi</t>
  </si>
  <si>
    <t>Effectiveness of elastic band training and group-based dance on physical-functional performance in older women with sarcopenia: a pilot study</t>
  </si>
  <si>
    <t>Background Sarcopenia is a syndrome associated with aging that causes progressive loss of skeletal muscle mass and muscle function. In this pilot study, we compared the effectiveness of elastic band training regarding group-based dance on fat mass, fat-free mass, handgrip strength (HGS; dominant and non-dominant hand), leg strength, timed up-and-go (TUG) and walking speed in older women with sarcopenia.Methods This is a randomized controlled trial, single-blind, repeated measures of parallel groups (elastic band group: EBG, n = 21; group-based dance: GBD, n = 19), and a quantitative methodology. Three 60-minute sessions per week for 12 weeks were dedicated to the interventions with pre- and post-assessments. A two-factor mixed analysis of variance (ANOVA) model with repeated measures was performed to measure the groupxtime effect.Results A significant interaction revealed for fat-free mass (F-1,F-16= 18.91; p &lt; 0.001; EBG + 10.9% vs. GBD - 1.97%), HGS dominant hand (F-1,F-16= 7.44; p = 0.014; EBG + 10.9% vs. GBD + 0.59%), HGS non-dominant hand (F1,16= 6.41; p = 0.022; EBG + 10.21% vs. GBD + 3.80%), leg strength (F1,16= 17.98; p &lt; 0.001; EBG + 9.1% vs. GBD + 3.83%), TUG (F1,16= 7.52; p = 0.014; EBG - 14.7% vs. GBD - 1.0%) and walking speed (F1,16 = 6.40; p = 0.019; EBG - 7.6% vs. GBD - 4.35%) in favor of EBG.Conclusion Elastic band training produces significantly greater responses on physical-functional performance regarding group-based dance in older women with sarcopenia. On the other hand, the EBG revealed a significant improvement in fat-free mass and upper and lower limb muscle strength, as well as a significant decrease time in TUG, and walking speed. Elastic band exercise is a safe, easy, affordable, and effective physical activity strategy, according to the findings.</t>
  </si>
  <si>
    <t>Núñez-Espinosa, Cristian/ADF-6181-2022; Branco, Braulio/AAA-1747-2019; Hernandez-Martinez, Jordan/AAK-5115-2020; Herrera-Valenzuela, Tomas/L-1819-2019; Magnani Branco, Braulio Henrique/B-8178-2017; Nobari, Hadi/AAO-9721-2021</t>
  </si>
  <si>
    <t>Magnani Branco, Braulio Henrique/0000-0002-4625-9128; Nunez Espinosa, Cristian Andres/0000-0002-9896-7062; Guzman-Munoz, Eduardo/0000-0001-7001-9004; Nobari, Hadi/0000-0001-7951-8977</t>
  </si>
  <si>
    <t>10.1186/s12889-023-17014-7</t>
  </si>
  <si>
    <t>WOS:001094219700004</t>
  </si>
  <si>
    <t>Valdés-Badilla, P; Herrera-Valenzuela, T; Guzmán-Muñoz, E; Hernandez-Martinez, J; Cid-Calfucura, I; Vásquez-Carrasco, E; Aristegui-Mondaca, J; Aravena-Sagardia, P; Mota, J; Zapata-Bastias, J; Luarte-Rocha, C; Branco, BHM</t>
  </si>
  <si>
    <t>Valdes-Badilla, Pablo; Herrera-Valenzuela, Tomas; Guzman-Munoz, Eduardo; Hernandez-Martinez, Jordan; Cid-Calfucura, Izham; Vasquez-Carrasco, Edgar; Aristegui-Mondaca, Juan; Aravena-Sagardia, Pablo; Mota, Jorge; Zapata-Bastias, Jose; Luarte-Rocha, Cristian; Branco, Braulio Henrique Magnani</t>
  </si>
  <si>
    <t>Adapted Taekwondo Improves Postural Balance and Health-Related Quality of Life Concerning Multicomponent Training and Walking Exercise in Older Females: A Randomized Controlled Trial (TKD and Aging Project)</t>
  </si>
  <si>
    <t>Background/Objectives: This study aimed to assess and compare the effects of an adapted taekwondo (TKD) program, multicomponent training (MCT), walking exercise (WE), and inactive control group (CG) on blood pressure, morphological variables, frequency of food consumption, cognitive status, health-related quality of life (HRQoL), physical fitness tests, and postural balance in independent older females. Methods: A randomized controlled trial study was conducted with the following groups: TKD (n = 13), MCT (n = 12), WE (n = 12), and CG (n = 14), considering three/weekly 60-min/sessions for 16-weeks. A two-factor mixed analysis of the variance model with repeated measures was performed. Results: TKD improved significantly more in phonetic fluency (p = 0.021; ES = 1.89) than WE and in general health (p = 0.033; ES = 1.11) than CG. Both TKD and MCT improved significantly more than CG in the 30 s chair stand, arm curl, chair sit-and-reach, timed up-and-go, maximal isometric handgrip strength, and postural balance for the eyes closed condition in the area and anteroposterior velocity (p &lt; 0.05). Conclusions: Only TKD improved the area (p = 0.008; ES = 1.00) and mediolateral velocity (p = 0.019; ES = 0.79) for the eyes open condition, and mediolateral velocity (p = 0.021; ES = 1.57) for the eyes closed condition. Blood pressure, morphological variables, and food consumption frequency showed no significant intragroup or intergroup interactions. TKD equivalently improved HRQoL and physical fitness to MCT, with better postural balance in older females.</t>
  </si>
  <si>
    <t>Branco, Braulio/AAA-1747-2019; Hernandez-Martinez, Jordan/AAK-5115-2020; Herrera-Valenzuela, Tomas/L-1819-2019; Magnani Branco, Braulio Henrique/B-8178-2017; mota, jorge/B-2980-2013</t>
  </si>
  <si>
    <t>Herrera-Valenzuela, Tomas/0000-0002-5219-5896; Magnani Branco, Braulio Henrique/0000-0002-4625-9128; mota, jorge/0000-0001-7571-9181; Valdes-Badilla, Pablo/0000-0002-3948-8280; Cid, Izham/0000-0002-2172-867X; Guzman-Munoz, Eduardo/0000-0001-7001-9004; Vasquez Carrasco, Edgar Maximiliano/0000-0002-5359-6587; Aristegui Mondaca, Juan/0009-0003-9825-9386</t>
  </si>
  <si>
    <t>10.3390/jcm13237250</t>
  </si>
  <si>
    <t>WOS:001377289100001</t>
  </si>
  <si>
    <t>Lukic, S; Licata, AE; Weis, E; Bogley, R; Ratnasiri, B; Welch, AE; Hinkley, LBN; Miller, Z; Garcia, AM; Houde, JF; Nagarajan, SS; Gorno-Tempini, ML; Borghesani, V</t>
  </si>
  <si>
    <t>Lukic, Sladjana; Licata, Abigail E.; Weis, Elizabeth; Bogley, Rian; Ratnasiri, Buddhika; Welch, Ariane E.; Hinkley, Leighton B. N.; Miller, Z.; Garcia, Adolfo M.; Houde, John F.; Nagarajan, Srikantan S.; Gorno-Tempini, Maria Luisa; Borghesani, Valentina</t>
  </si>
  <si>
    <t>Auditory Verb Generation Performance Patterns Dissociate Variants of Primary Progressive Aphasia</t>
  </si>
  <si>
    <t>Primary progressive aphasia (PPA) is a clinical syndrome in which patients progressively lose speech and language abilities. Three variants are recognized: logopenic (lvPPA), associated with phonology and/or short-term verbal memory deficits accompanied by left temporo-parietal atrophy; semantic (svPPA), associated with semantic deficits and anterior temporal lobe (ATL) atrophy; non-fluent (nfvPPA) associated with grammar and/or speech-motor deficits and inferior frontal gyrus (IFG) atrophy. Here, we set out to investigate whether the three variants of PPA can be dissociated based on error patterns in a single language task. We recruited 21 lvPPA, 28 svPPA, and 24 nfvPPA patients, together with 31 healthy controls, and analyzed their performance on an auditory noun-to-verb generation task, which requires auditory analysis of the input, access to and selection of relevant lexical and semantic knowledge, as well as preparation and execution of speech. Task accuracy differed across the three variants and controls, with lvPPA and nfvPPA having the lowest and highest accuracy, respectively. Critically, machine learning analysis of the different error types yielded above-chance classification of patients into their corresponding group. An analysis of the error types revealed clear variant-specific effects: lvPPA patients produced the highest percentage of not-a-verb responses and the highest number of semantically related nouns (production of baseball instead of throw to noun ball); in contrast, svPPA patients produced the highest percentage of unrelated verb responses and the highest number of light verbs (production of take instead of throw to noun ball). Taken together, our findings indicate that error patterns in an auditory verb generation task are associated with the breakdown of different neurocognitive mechanisms across PPA variants. Specifically, they corroborate the link between temporo-parietal regions with lexical processing, as well as ATL with semantic processes. These findings illustrate how the analysis of pattern of responses can help PPA phenotyping and heighten diagnostic sensitivity, while providing insights on the neural correlates of different components of language.</t>
  </si>
  <si>
    <t>García, Adolfo/E-7150-2017; Welch, Ariane/AAE-8308-2020; Licata, Abigail/HMD-3499-2023; Mastrangelo, Mario/G-6519-2018; Borghesani, Valentina/U-1540-2019</t>
  </si>
  <si>
    <t>Licata, Abigail/0000-0003-2278-0856; Ratnasiri, Buddhika/0000-0001-5044-015X</t>
  </si>
  <si>
    <t>JUN 24</t>
  </si>
  <si>
    <t>10.3389/fpsyg.2022.887591</t>
  </si>
  <si>
    <t>WOS:000822670300001</t>
  </si>
  <si>
    <t>Ferrero-Hernández, P; O'Donovan, G; Petermann-Rocha, F; Christofaro, DGD; Cristi-Montero, C; Marques, A; Nascimento, MD; Farías-Valenzuela, C; Rezende, LFM; Ferrari, G</t>
  </si>
  <si>
    <t>Ferrero-Hernandez, Paloma; O'Donovan, Gary; Petermann-Rocha, Fanny; Christofaro, Diego G. D.; Cristi-Montero, Carlos; Marques, Adilson; Nascimento, Marcelo de Maio; Farias-Valenzuela, Claudio; Rezende, Leandro F. M.; Ferrari, Gerson</t>
  </si>
  <si>
    <t>Association between lifestyle risk factors and mortality in the Mexico City prospective study</t>
  </si>
  <si>
    <t>Unhealthy lifestyles risk factors, such as smoking, alcohol consumption, physical inactivity, poor diet, and obesity, have been associated with a higher risk of all-cause and cause-specific mortality. However, composite score of these unhealthy behaviours has not been considered, particularly in Latin American populations. Herein, we examined the association of lifestyle risk factors score with all-cause and cause-specific mortality in Mexican adults. A total of 159,517 adults from the Mexico City Prospective Study (MCPS) were included. Data on sociodemographic, lifestyle risk factors and medical histories was collected through a self-reported baseline questionnaire in a census-style door-to-door interviews. Lifestyle risk factors assessment was based on five modifiable lifestyle risk factors and their respective cut-off points according to current health recommendations, including obesity, physical inactivity, tobacco, alcohol consumption and fruits and vegetables intake. Multivariable Cox regression models were used to estimate the associations of lifestyle risk factor score (ranging from 0 to 5) with all-cause and cause-specific mortality (cardiovascular disease, renal or hepatobiliary diseases, diabetes, respiratory diseases, cancer and all-cause mortality). We excluded the first 2, 5, 10, and 15 years of follow-up to account for reverse causation bias. We found a high prevalence (77%) of Mexican adults, with two or more lifestyle risk factors. Hazard ratio for respiratory diseases and renal or hepatobiliary diseases were 1.86 (95%CI: 1.45-2.39) and 2.00 (95%CI: 1.60-2.52) comparing participants with 4-5 lifestyle risk factors vs. those with none. For all-cause mortality, participants with 4-5 lifestyle risk factors had a 49% (HR: 1.49; 95%CI: 1.03-2.16) higher risk as compared to participants with none. The magnitude of the associations increased as the exclusion of follow-up time increased after 2, 5, 10 and 15 years. There was a positive association between the number of lifestyle risk factors and all-cause and cause-specific mortality, showing the highest rate of respiratory, renal or hepatobiliary and all-cause mortality among participants with 4-5 lifestyle risk factors. After accounting for reverse causation, associations were stronger.</t>
  </si>
  <si>
    <t>Petermann-Rocha, Fanny/AAK-1230-2021; Cristi-Montero, Carlos/AAE-4945-2020; Rezende, Leandro/C-1724-2012; Ferrari, Gerson/HHM-6173-2022; Ferrari, Gerson/P-1152-2014</t>
  </si>
  <si>
    <t>O'Donovan, Gary/0000-0001-6748-6218; Ferrari, Gerson/0000-0003-3177-6576</t>
  </si>
  <si>
    <t>10.1038/s41598-024-84104-w</t>
  </si>
  <si>
    <t>WOS:001390049700005</t>
  </si>
  <si>
    <t>Miklashevsky, A; Reifegerste, J; García, AM; Pulvermüller, F; Balota, DA; Veríssimo, J; Ullman, MT</t>
  </si>
  <si>
    <t>Miklashevsky, Alex; Reifegerste, Jana; Garcia, Adolfo M.; Pulvermueller, Friedemann; Balota, David A.; Verissimo, Joao; Ullman, Michael T.</t>
  </si>
  <si>
    <t>Embodied Cognition Comes of Age: A Processing Advantage for Action Words Is Modulated by Aging and the Task</t>
  </si>
  <si>
    <t>JOURNAL OF EXPERIMENTAL PSYCHOLOGY-GENERAL</t>
  </si>
  <si>
    <t>Processing action words (e.g., fork, throw) engages neurocognitive motor representations, consistent with embodied cognition principles. Despite age-related neurocognitive changes that could affect action words, and a rapidly aging population, the impact of healthy aging on action-word processing is poorly understood. Previous research suggests that in lexical tasks demanding semantic access, such as picture naming, higher motor-relatedness can enhance performance (e.g., fork vs. pier)-particularly in older adults, perhaps due to the age-related relative sparing of motor-semantic circuitry, which can support action words. However, motor-relatedness was recently found to affect performance in younger but not older adults in lexical decision. We hypothesized this was due to decreased semantic access in this task, especially in older adults. Here we tested effects of motor-relatedness on 2,174 words in younger and older adults not only in lexical decision but also in reading aloud, in which semantic access is minimal. Mixed-effects regression, controlling for phonological, lexical, and semantic variables, yielded results consistent with our predictions. In lexical decision, younger adults were faster and more accurate at words with higher-motor relatedness, whereas older adults showed no motor-relatedness effects. In reading aloud, neither age group showed such effects. Multiple sensitivity analyses demonstrated that the patterns were robust. Altogether, whereas previous research indicates that in lexical tasks demanding semantic access, higher motor-relatedness can enhance performance, especially in older adults, evidence now suggests that such effects are attenuated with decreased semantic access, which in turn depends on the task as well as aging itself. Action words (such asforkorthrow) can be processed faster and more accurately than nonaction words(such aspierorthink), but this effect depends on the task and one's age</t>
  </si>
  <si>
    <t>; Miklashevsky, Alex/N-9035-2014</t>
  </si>
  <si>
    <t>Verissimo, Joao/0000-0002-1264-3017; Pulvermuller, Friedemann/0000-0003-3210-7112; Miklashevsky, Alex/0000-0002-2693-5344</t>
  </si>
  <si>
    <t>0096-3445</t>
  </si>
  <si>
    <t>1939-2222</t>
  </si>
  <si>
    <t>10.1037/xge0001555</t>
  </si>
  <si>
    <t>WOS:001327927800013</t>
  </si>
  <si>
    <t>Pereira, GP; Alessandri, R; Domínguez, M; Araya-Osorio, R; Grünewald, L; Borges-Araújo, L; Wu, S; Marrink, SJ; Souza, PCT; Mera-Adasme, R</t>
  </si>
  <si>
    <t>Pereira, Gilberto P.; Alessandri, Riccardo; Dominguez, Moises; Araya-Osorio, Rocio; Grunewald, Linus; Borges-Araujo, Luis; Wu, Sangwook; Marrink, Siewert J.; Souza, Paulo C. T.; Mera-Adasme, Raul</t>
  </si>
  <si>
    <t>Bartender: Martini 3 Bonded Terms via Quantum Mechanics-Based Molecular Dynamics</t>
  </si>
  <si>
    <t>Coarse-grained (CG) molecular dynamics (MD) simulations have grown in applicability over the years. The recently released version of the Martini CG force field (Martini 3) has been successfully applied to simulate many processes, including protein-ligand binding. However, the current ligand parametrization scheme is manual and requires an a priori reference all-atom (AA) simulation for benchmarking. For systems with suboptimal AA parameters, which are often unknown, this translates into a CG model that does not reproduce the true dynamical behavior of the underlying molecule. Here, we present Bartender, a quantum mechanics (QM)/MD-based parametrization tool written in Go. Bartender harnesses the power of QM simulations and produces reasonable bonded terms for Martini 3 CG models of small molecules in an efficient and user-friendly manner. For small, ring-like molecules, Bartender generates models whose properties are indistinguishable from the human-made models. For more complex, drug-like ligands, it is able to fit functional forms beyond simple harmonic dihedrals and thus better captures their dynamical behavior. Bartender has the power to both increase the efficiency and the accuracy of Martini 3-based high-throughput applications by producing numerically stable and physically realistic CG models.</t>
  </si>
  <si>
    <t>Domínguez, Moisés/P-2227-2019; Marrink, Siewert/G-3706-2014; Alessandri, Riccardo/A-9266-2019; Telles de Souza, Paulo Cesar/E-5072-2013</t>
  </si>
  <si>
    <t>Dominguez, Moises/0000-0002-8444-3065; Alessandri, Riccardo/0000-0003-1948-5311; Telles de Souza, Paulo Cesar/0000-0003-0660-1301; P. Pereira, Gilberto/0000-0002-6277-0006; Araya-Osorio, Rocio/0009-0006-2838-7982; Marrink, Siewert/0000-0001-8423-5277; Borges-Araujo, Luis/0000-0003-3004-7750</t>
  </si>
  <si>
    <t>2024 JUN 26</t>
  </si>
  <si>
    <t>10.1021/acs.jctc.4c00275</t>
  </si>
  <si>
    <t>WOS:001255578900001</t>
  </si>
  <si>
    <t>García-Hermoso, A; Martinez-Gomez, D; Fernández-Santos, JD; Ortega, FB; Castro-Piñero, J; Hillman, CH; Veiga, OL; Esteban-Cornejo, I</t>
  </si>
  <si>
    <t>Garcia-Hermoso, Antonio; Martinez-Gomez, David; del Rosario Fernandez-Santos, Jorge; Ortega, Francisco B.; Castro-Pinero, Jose; Hillman, Charles H.; Veiga, Oscar L.; Esteban-Cornejo, Irene</t>
  </si>
  <si>
    <t>Longitudinal associations of physical fitness and body mass index with academic performance</t>
  </si>
  <si>
    <t>No studies have analyzed the longitudinal associations of change in physical fitness components and obesity with academic performance. The aim of the study was to examine longitudinal associations of changes in physical fitness components and body mass index with academic performance among youth, and whether the physical fitness components are moderators of the longitudinal association between obesity and academic performance in youth. Longitudinal analyses (2 years) included 1802 youths. Physical fitness components were assessed following the ALPHA health-related fitness test battery. Academic performance was assessed via school records. Youth in the persistently high cardiorespiratory fitness and motor ability categories (ie, fit at baseline and at 2-year follow-up) had higher academic performance at follow-up than those in the persistently low category. Further, youth with normal weight at baseline and overweight/obesity at follow-up had lower academic performance scores at follow-up compared to those with normal weight. Also, cardiorespiratory fitness may ameliorate the negative influence of excess body mass index on academic performance at follow-up. Promoting physical activity programs at school that include both aerobic exercise and motor tasks to improve physical fitness and reduce body mass index may not only improve physical health, but also contribute toward successful academic development.</t>
  </si>
  <si>
    <t>Santos, Jorge/AAT-7689-2020; Hillman, Charles/AAD-4828-2019; García-Hermoso, Antonio/ADU-2591-2022; Esteban-Cornejo, Irene/AGR-6997-2022; Veiga, Oscar/C-9235-2012; Castro-Pinero, Jose/H-5857-2015; Martinez Gomez, David/B-3911-2015; Ortega, Francisco B/B-4002-2010; Garcia-Hermoso, Antonio/P-1857-2017</t>
  </si>
  <si>
    <t>Hillman, Charles/0000-0002-3722-5612; Castro-Pinero, Jose/0000-0002-7353-0382; Veiga Nunez, Oscar Luis/0000-0002-8555-5704; Martinez Gomez, David/0000-0002-9598-019X; Fernandez Santos, Jorge del Rosario/0000-0002-5047-2976; Ortega, Francisco B/0000-0003-2001-1121; Garcia-Hermoso, Antonio/0000-0002-1397-7182</t>
  </si>
  <si>
    <t>10.1111/sms.13817</t>
  </si>
  <si>
    <t>WOS:000569761600001</t>
  </si>
  <si>
    <t>Parlar, A; Muñoz-Acevedo, A; Uckardes, F; Jaimes, L; Aneva, I; Morales, B; Unis, A; Rodriguez, M; Yumrutas, O; Vinet, R; Bungau, S; Martinez, JL</t>
  </si>
  <si>
    <t>Parlar, Ali; Munoz-Acevedo, Amner; Uckardes, Fatih; Jaimes, Luisauris; Aneva, Ina; Morales, Bernardo; Unis, Amina; Rodriguez, Maite; Yumrutas, Onder; Vinet, Raul; Bungau, Simona; Martinez, Jose L.</t>
  </si>
  <si>
    <t>Resveratrol as an anti-asthmatic agent: could this stilbenoid help against COVID-19 in any way? A meta-analysis</t>
  </si>
  <si>
    <t>Resveratrol is a phenolic phytoconstituent found in many plants. This molecule has always caught the attention of scientists because of biological potentials such as inhibition of inflammation, oxidative stress and platelet aggregation as well as to prevent/protect against cardiovascular and neurodegenerative disease/disorders. Literature search have been conducted over resveratrol in covid-19 and asthma studies published in Pubmed and Google Scholars until 30 September 2020. The criteria used in the literature review were determined and were reviewed works on resveratrol including 368 articles and 47 articles on covid-19 and asthma, respectively. As a result of meta-analysis, TNF-alpha values of the studies showed a significant difference (heterogeneity) of I2=68.39% from each other in total (Cohran Q:6.33, p&lt;0.0423). This study shows that resveratrol would have a potential to reduce ARDS symptoms, by suppressing the cytokine storm and severe inflammation caused by SARS-CoV-2, and by showing strong activity against various types of DNA/RNA viruses.</t>
  </si>
  <si>
    <t>parlar, ali/U-6786-2019; Unis, Amina/ABB-5463-2021; Aneva, Ina/HNR-2928-2023; Bungau, Simona/C-1831-2015; Morales Castañeda, Bernardo/GPP-1642-2022; ÜÇKARDEŞ, Fatih/MGT-0805-2025; Rodriguez, Maite/HOC-8116-2023; Vinet, Raul/B-1699-2016</t>
  </si>
  <si>
    <t>Vinet, Raul/0000-0002-4719-8910; Munoz-Acevedo, Amner/0000-0003-2145-1495; /0000-0003-3236-1292; Aneva, Ina/0000-0002-6476-5438; Unis, Amina/0000-0002-3794-7375; Rodriguez-Diaz, Maite/0000-0002-4165-8461</t>
  </si>
  <si>
    <t>10.37360/blacpma.21.20.5.34</t>
  </si>
  <si>
    <t>WOS:000674617300002</t>
  </si>
  <si>
    <t>Mousazadeh, M; Ashoori, R; Paital, B; Kabdasli, I; Frontistis, Z; Hashemi, M; Sandoval, MA; Sherchan, S; Das, K; Emamjomeh, MM</t>
  </si>
  <si>
    <t>Mousazadeh, Milad; Ashoori, Razieh; Paital, Biswaranjan; Kabdasli, Isik; Frontistis, Zacharias; Hashemi, Marjan; Sandoval, Miguel A.; Sherchan, Samendra; Das, Kabita; Emamjomeh, Mohammad Mahdi</t>
  </si>
  <si>
    <t>Wastewater Based Epidemiology Perspective as a Faster Protocol for Detecting Coronavirus RNA in Human Populations: A Review with Specific Reference to SARS-CoV-2 Virus</t>
  </si>
  <si>
    <t>PATHOGENS</t>
  </si>
  <si>
    <t>Wastewater-based epidemiology (WBE) has a long history of identifying a variety of viruses from poliovirus to coronaviruses, including novel Severe Acute Respiratory Syndrome Coronavirus 2 (SARS-CoV-2). The presence and detection of SARS-CoV-2 in human feces and its passage into the water bodies are significant public health challenges. Hence, the hot issue of WBE of SARS-CoV-2 in the coronavirus respiratory disease (COVID-19) pandemic is a matter of utmost importance (e.g., SARS-CoV-1). The present review discusses the background, state of the art, actual status, and prospects of WBE, as well as the detection and quantification protocols of SARS-CoV-2 in wastewater. The SARS-CoV-2 detection studies have been performed in different water matrixes such as influent and effluent of wastewater treatment plants, suburban pumping stations, hospital wastewater, and sewer networks around the globe except for Antarctica. The findings revealed that all WBE studies were in accordance with clinical and epidemiological data, which correlates the presence of SARS-CoV-2 ribonucleic acid (RNA) with the number of new daily positive cases officially reported. This last was confirmed via Reverse Transcriptase-quantitative Polymerase Chain Reaction (RT-qPCR) testing which unfortunately is not suitable for real-time surveillance. In addition, WBE concept may act as a faster protocol to alert the public health authorities to take administrative orders (possible re-emerging infections) due to the impracticality of testing all citizens in a short time with limited diagnostic facilities. A comprehensive and integrated review covering all steps starting from sampling to molecular detection of SARS-CoV-2 in wastewater has been made to guide for the development well-defined and reliable protocols.</t>
  </si>
  <si>
    <t>Kabdaşlı, Işık/AAD-9127-2020; Mousazadehgavan, Milad/KTI-6446-2024; Sandoval, Miguel A/JCF-1838-2023; Sandoval, Miguel/F-3645-2019; Emamjomeh, Mohammad Mahdi/I-7710-2015; Hashemi, Marjan/N-8859-2018; Mousazadehgavan, Milad/W-3041-2018; Frontistis, Zacharias/K-1320-2018; Paital, Biswaranjan/N-1585-2015</t>
  </si>
  <si>
    <t>Kabdasli, Isik/0000-0002-7872-2463; Das, Kabita/0000-0002-8421-0245; Sandoval, Miguel/0000-0001-9659-5827; Emamjomeh, Mohammad Mahdi/0000-0003-2772-6832; Hashemi, Marjan/0000-0002-5732-874X; Mousazadehgavan, Milad/0000-0003-1464-3915; Frontistis, Zacharias/0000-0002-1367-7729; Paital, Biswaranjan/0000-0002-5285-6578</t>
  </si>
  <si>
    <t>2076-0817</t>
  </si>
  <si>
    <t>10.3390/pathogens10081008</t>
  </si>
  <si>
    <t>WOS:000690062200001</t>
  </si>
  <si>
    <t>Hidalgo-Hermoso, E; Cabello, J; Lopez, R; Vergara-Wilson, V; Vera, F; Valencia, C; Sanchez, C; Celis, S; Silva, A; Cariñanos, A; Barria, I; Vicencio, R; Muñoz-Leal, S; Aravena, P; Lagos, R; Toro-Letelier, J; Verasay-Caviedes, S; Garnham, A; Peña, I; Sánchez, F; Moreira-Arce, D; Vergara, PM; Alegria-Moran, R; Cortés-Hinojosa, G</t>
  </si>
  <si>
    <t>Hidalgo-Hermoso, Ezequiel; Cabello, Javier; Lopez, Rodrigo; Vergara-Wilson, Vicente; Vera, Frank; Valencia, Carola; Sanchez, Carlos; Celis, Sebastian; Silva, Alejandra; Carinanos, Aintzane; Barria, Ismael; Vicencio, Rocio; Munoz-Leal, Sebastian; Aravena, Paula; Lagos, Rocio; Toro-Letelier, Juan; Verasay-Caviedes, Sebastian; Garnham, Antonio; Pena, Irene; Sanchez, Fernando; Moreira-Arce, Dario; Vergara, Pablo M.; Alegria-Moran, Raul; Cortes-Hinojosa, Galaxia</t>
  </si>
  <si>
    <t>Molecular and phylogenetic analysis of herpesviruses in endangered free-ranging cervids of Chile: ovine gammaherpesvirus-2-A novel threat to wild and domestic animal health in Chilean Patagonia</t>
  </si>
  <si>
    <t>Introduction Herpesvirus infections have been highlighted as emerging diseases affecting wildlife health and the conservation of several taxa. Malignant catarrhal fever (MCF) and infectious keratoconjunctivitis (IKC) are two viruses that infect wild ruminants. Nevertheless, epidemiological data on herpesviruses in South American wild ruminants are limited. An outbreak of caprine gammaherpesvirus-2 (CpHV-2) that recently was suspected as the cause of MCF in southern pudus (Pudu puda) prompted the need to conduct molecular screenings in Chilean cervids to understand the epidemiology of herpesviruses. The aim of this study was to determine the occurrence and genetic diversity of herpesviruses in free-ranging cervids from Chile.Methods Herpesvirus infection was assessed in antemortem blood samples (n = 86) from pudus (n = 81) and huemuls (Hippocamelus bisulcus) (n = 5), as well as postmortem samples of spleen (n = 24) and lung (n = 3) from pudus, using a nested pan-herpesvirus PCR assay.Results Combining all suitable sample types, DNA of pudu gammaherpesvirus-1 was detected in five pudues and five huemuls, with an overall prevalence of 9.90% (n = 10/101; 95% CI = 5.11-17.87%). One pudu tested positive for ovine gammaherpesvirus-2 (n = 1/96; 1.04%; 95% CI = 0.05-6.49%), and one pudu tested positive for a Macavirus sequence with 98.63 similarity to ovine gammaherpesvirus-2 (n = 96; 1.04%; 95% CI = 0.05-6.49%).Discussion To the best of our knowledge, this is the first report of a herpesvirus in huemul and of ovine gammaherpesvirus-2 in Chile. Our results also confirm the active circulation of herpesvirus in free-ranging cervids in Chilean Patagonia, and as such, MCF should be considered as a possible cause of disease in free-ranging Chilean pudus and livestock species. Further research is necessary to develop a plan of systematic monitoring (serological and pathological screening) of herpesviruses in Chilean wild and domestic ruminants to understand their diversity and impact on animal health and conservation.</t>
  </si>
  <si>
    <t>Moreira-Arce, Dario/ABG-2898-2021; Hidalgo-Hermoso, Ezequiel/ABB-6056-2020; Vergara, Pablo/F-2519-2010; Alegria-Moran, Raul/H-3841-2013; Munoz, Sebastian/KTI-1588-2024; Munoz-Leal, Sebastian/C-5406-2018; Lopez, Rodrigo/G-4412-2014</t>
  </si>
  <si>
    <t>Munoz-Leal, Sebastian/0000-0003-3547-6466; Lopez, Rodrigo/0000-0001-6170-507X; Verasay Caviedes, Sebastian/0000-0003-0995-1227; Pena-Galindo, Irene/0009-0002-6451-9744; Cortes-Hinojosa, Galaxia/0000-0002-6160-9093; Garnham, Antonio/0009-0003-8160-2870; Vergara, Pablo/0000-0002-0024-1678</t>
  </si>
  <si>
    <t>10.3389/fvets.2023.1321172</t>
  </si>
  <si>
    <t>WOS:001161697100001</t>
  </si>
  <si>
    <t>Avudaiappan, S; Flores, EIS; Araya-Letelier, G; Thomas, WJ; Raman, SN; Murali, G; Amran, M; Karelina, M; Fediuk, R; Vatin, N</t>
  </si>
  <si>
    <t>Avudaiappan, Siva; Saavedra Flores, Erick I.; Araya-Letelier, Gerardo; Jonathan Thomas, Walter; N. Raman, Sudharshan; Murali, Gunasekaran; Amran, Mugahed; Karelina, Maria; Fediuk, Roman; Vatin, Nikolai</t>
  </si>
  <si>
    <t>Experimental Investigation on Composite Deck Slab Made of Cold-Formed Profiled Steel Sheeting</t>
  </si>
  <si>
    <t>METALS</t>
  </si>
  <si>
    <t>An experimental investigation is performed on various cold-formed profiled sheets to study the connection behavior of composite deck slab actions using bolted shear connectors. Various profiles like dovetailed (or) re-entrant profiles, rectangular profiles and trapezoidal profiles are used in the present investigation. This experimental investigation deals with the evaluation of various parameters such as the ultimate load carrying capacity versus deflection, load versus slip, ductility ratio, strain energy and modes of failure in composite slab specimens with varying profiles. From the test results the performance of dovetailed profiled composite slabs' resistance is significantly higher than the other two profiled composite deck slabs.</t>
  </si>
  <si>
    <t>Avudaiappan, Siva/AAV-7579-2021; Araya-Letelier, Gerardo/GNH-2152-2022; Gunasekaran, Murali/J-8425-2019; Flores, Erick/I-7646-2012; amran, mugahed/AAW-4821-2020; Karelina, Maria/E-1309-2019; Vatin, Nikolai Ivanovich/O-6995-2019; Fediuk, Roman/N-6730-2017; Raman, Sudharshan Naidu/D-1012-2010</t>
  </si>
  <si>
    <t>Araya-Letelier, Gerardo/0000-0003-4252-1341; Vatin, Nikolai Ivanovich/0000-0002-1196-8004; AVUDAIAPPAN, SIVA/0000-0002-4289-4298; Fediuk, Roman/0000-0002-2279-1240; Raman, Sudharshan Naidu/0000-0003-4149-0141; G, Murali/0000-0002-1151-0853</t>
  </si>
  <si>
    <t>2075-4701</t>
  </si>
  <si>
    <t>10.3390/met11020229</t>
  </si>
  <si>
    <t>WOS:000622782600001</t>
  </si>
  <si>
    <t>Ramírez-Vélez, R; Saavedra, JM; Lobelo, F; Celis-Morales, CA; del Pozo-Cruz, B; García-Hermoso, A</t>
  </si>
  <si>
    <t>Ramirez-Velez, Robinson; Saavedra, Jose M.; Lobelo, Felipe; Celis-Morales, Carlos A.; del Pozo-Cruz, Borja; Garcia-Hermoso, Antonio</t>
  </si>
  <si>
    <t>Ideal Cardiovascular Health and Incident Cardiovascular Disease Among Adults: A Systematic Review and Meta-analysis</t>
  </si>
  <si>
    <t>Objective: To investigate the association between ideal cardiovascular health (CVH) metrics and incident cardiovascular disease (CVD) by conducting a systematic review and meta-analysis of prospective cohort studies. Methods: The MEDLINE, EMBASE, and CINAHL databases were searched from January 1, 2010, through July 31, 2017, for studies that met the following criteria: (1) prospective studies conducted in adults, (2) with outcome data on CVD incidence and (3) a measure of ideal CVH metrics. Results: Twelve studies (210,443 adults) were included in this analysis. Compared with adults who met 0 to 2 of the ideal CVH metrics (high-risk individuals), a significantly lower hazard for CVD incidence was observed in those who had 3 to 4 points for the ideal CVH metrics (hazard ratio [HR]=0.53; 95% CI, 0.47-0.59) and 5 to 7 points (HR=0.28; 95% CI, 0.23-0.33). Weaker associations were observed in studies with older individuals, suggesting that there is a positive relationship between age and HR. Conclusion: Although meeting 5 to 7 metrics is associated with the lowest hazard for CVD incidence, meeting 3 to 4 metrics still offers an important protective effect for CVD. Therefore, a realistic goal in the general population in the short term could be to promote at least an intermediate ideal CVH profile (3 to 4 metrics). (C) 2018 Mayo Foundation for Medical Education and Research</t>
  </si>
  <si>
    <t>Saavedra, Jose/C-2490-2011; García-Hermoso, Antonio/ADU-2591-2022; Ramirez-Velez, Robinson/D-5311-2016; Lobelo, Felipe/AAB-2264-2021; Garcia-Hermoso, Antonio/P-1857-2017; del Pozo Cruz, Borja/IAM-4325-2023</t>
  </si>
  <si>
    <t>Ramirez-Velez, Robinson/0000-0003-3075-6960; Lobelo, Felipe/0000-0003-4185-7193; Garcia-Hermoso, Antonio/0000-0002-1397-7182; del Pozo Cruz, Borja/0000-0003-3944-2212</t>
  </si>
  <si>
    <t>10.1016/j.mayocp.2018.05.035</t>
  </si>
  <si>
    <t>WOS:000448967300010</t>
  </si>
  <si>
    <t>Aragonès, AC; Martín-Rodríguez, A; Aravena, D; Puigmartí-Luis, J; Amabilino, DB; Aliaga-Alcalde, N; González-Campo, A; Ruiz, E; Díez-Pérez, I</t>
  </si>
  <si>
    <t>Aragones, Albert C.; Martin-Rodriguez, Alejandro; Aravena, Daniel; Puigmarti-Luis, Josep; Amabilino, David B.; Aliaga-Alcalde, Nuria; Gonzalez-Campo, Arantzazu; Ruiz, Eliseo; Diez-Perez, Ismael</t>
  </si>
  <si>
    <t>Tuning Single-Molecule Conductance in Metalloporphyrin-Based Wires via Supramolecular Interactions</t>
  </si>
  <si>
    <t>Nature has developed supramolecular constructs to deliver outstanding charge-transport capabilities using metalloporphyrin-based supramolecular arrays. Herein we incorporate simple, naturally inspired supramolecular interactions via the axial complexation of metalloporphyrins into the formation of a single-molecule wire in a nanoscale gap. Small structural changes in the axial coordinating linkers result in dramatic changes in the transport properties of the metalloporphyrin-based wire. The increased flexibility of a pyridine-4-yl-methanethiol ligand due to an extra methyl group, as compared to a more rigid 4-pyridinethiol linker, allows the pyridine-4-yl-methanethiol ligand to adopt an unexpected highly conductive stacked structure between the two junction electrodes and the metalloporphyrin ring. DFT calculations reveal a molecular junction structure composed of a shifted stack of the two pyridinic linkers and the metalloporphyrin ring. In contrast, the more rigid 4-mercaptopyridine ligand presents a more classical lifted octahedral coordination of the metalloporphyrin metal center, leading to a longer electron pathway of lower conductance. This works opens to supramolecular electronics, a concept already exploited in natural organisms.</t>
  </si>
  <si>
    <t>Aliaga-Alcalde, Núria/ABI-6678-2020; Aravena, Daniel/F-2174-2011; Puigmarti-Luis, Josep/A-5302-2015; Amabilino, David/D-4671-2012; Gonzalez Campo, Arantzazu/J-4124-2012; Aragones, Albert C/P-8182-2018; Ruiz, Eliseo/A-6268-2011; Aliaga-Alcalde, Nuria/H-5886-2011; Diez-Perez, Ismael/F-6402-2014</t>
  </si>
  <si>
    <t>Puigmarti-Luis, Josep/0000-0002-7510-9815; Amabilino, David/0000-0003-1674-8462; Gonzalez Campo, Arantzazu/0000-0002-1209-8119; Aragones, Albert C/0000-0002-1829-6941; Ruiz, Eliseo/0000-0001-9097-8499; Aliaga-Alcalde, Nuria/0000-0003-1080-3862; Diez-Perez, Ismael/0000-0003-0513-8888</t>
  </si>
  <si>
    <t>10.1002/anie.202007237</t>
  </si>
  <si>
    <t>WOS:000561863500001</t>
  </si>
  <si>
    <t>Kurbanoglu, S; Zafar, MN; Tasca, F; Aslam, I; Spadiut, O; Leech, D; Haltrich, D; Gorton, L</t>
  </si>
  <si>
    <t>Kurbanoglu, Sevinc; Zafar, Muhammed Nadeem; Tasca, Federico; Aslam, Iqra; Spadiut, Oliver; Leech, Donal; Haltrich, Dietmar; Gorton, Lo</t>
  </si>
  <si>
    <t>Amperometric Flow Injection Analysis of Glucose and Galactose Based on Engineered Pyranose 2-Oxidases and Osmium Polymers for Biosensor Applications</t>
  </si>
  <si>
    <t>In the present study, wild type and three mutants of pyranose 2-oxidase (PyOx-WT, PyOx-MT1, PyOx-MT2, PyOx-MT3), which showed improved properties for D-galactose oxidation, were investigated for their oxidising ability when immobilised on graphite electrodes. Four different flexible Os polymers with formal potentials ranging between -0.140 and 0.270V vs. Ag|AgCl0.1MKCl were applied together with the various forms of PyOx to wire graphite electrodes using polyethylene glycol diglycidyl ether as crosslinking reagent. The pH profiles for the electrodes modified with wild type and all PyOx mutants in combination with the Os polymers were investigated with both glucose and galactose, respectively, since the PyOx variants showed an improved catalytic activity for galactose. All modified electrodes showed highest response in the pH range between 8.5-10 and K-M, I-max values for both glucose and galactose were determined. To prove the catalytic activity, the biosensors were also characterized with cyclic voltammetry. A protein amount 0.26U was found optimum for PyOx-WT, 0.36U for PyOx-MT1, 0.41U for PyOx-MT2 and 0.28U for PyOx-MT3 and the analytical characterization of the enzyme electrodes was performed for glucose and galactose under optimized conditions.</t>
  </si>
  <si>
    <t>Tasca, Federico/J-4134-2015; Haltrich, Dietmar/N-2624-2019; Kurbanoglu, Sevinc/AAG-5743-2021; Zafar, Muhammad Nadeem/AAA-1853-2020; Zafar, Muhammad Nadeem/E-8849-2010</t>
  </si>
  <si>
    <t>KURBANOGLU, SEVINC/0000-0002-7079-7604; Leech, Donal/0000-0001-7844-1306; Gorton, Lo/0000-0002-7278-0478; Zafar, Muhammad Nadeem/0000-0002-2109-7601</t>
  </si>
  <si>
    <t>10.1002/elan.201800096</t>
  </si>
  <si>
    <t>WOS:000438025200035</t>
  </si>
  <si>
    <t>Moguilner, S; Birba, A; Fino, D; Isoardi, R; Huetagoyena, C; Otoya, R; Tirapu, V; Cremaschi, F; Sedeño, L; Ibáñez, A; García, AM</t>
  </si>
  <si>
    <t>Moguilner, Sebastian; Birba, Agustina; Fino, Daniel; Isoardi, Roberto; Huetagoyena, Celeste; Otoya, Raul; Tirapu, Viviana; Cremaschi, Fabian; Sedeno, Lucas; Ibanez, Agustin; Garcia, Adolfo M.</t>
  </si>
  <si>
    <t>Structural and functional motor-network disruptions predict selective action-concept deficits: Evidence from frontal lobe epilepsy</t>
  </si>
  <si>
    <t>Built on neurodegenerative lesions models, the disrupted motor grounding hypothesis (DMGH) posits that motor-system alterations selectively impair action comprehension. However, major doubts remain concerning the dissociability, neural signatures, and etiological generalizability of such deficits. Few studies have compared action-concept outcomes between disorders affecting and sparing motor circuitry, and none has examined their multimodal network predictors via data-driven approaches. Here, we first assessed action-and object-concept processing in patients with frontal lobe epilepsy (FLE), patients with posterior cortex epilepsy (PCE), and healthy controls. Then, we examined structural and functional network signatures via diffusion tensor imaging and resting-state connectivity measures. Finally, we used these measures to predict behavioral performance with an XGBoost machine learning regression algorithm. Relative to controls, FLE (but not PCE) patients exhibited selective action-concept deficits together with structural and functional abnormalities along motor networks. The XGBoost model reached a significantly large effect size only for action-concept outcomes in FLE, mainly predicted by structural (cortico-spinal tract, anterior thalamic radiation, uncinate fasciculus) and functional (M1-parietal/supramarginal connectivity) motor networks. These results extend the DMGH, suggesting that action-concept deficits are dissociable markers of frontal/motor (relative to posterior) disruptions, directly related to the structural and functional integrity of motor networks, and traceable beyond canonical movement disorders. (c) 2021 Elsevier Ltd. All rights reserved.</t>
  </si>
  <si>
    <t>García, Adolfo/E-7150-2017; Birba, Agustina/AFR-3037-2022; Ibanez, Agustin/H-7976-2015</t>
  </si>
  <si>
    <t>Cremaschi, Fabian/0000-0002-1922-3664; Fino, Daniel/0000-0002-0248-3080; Ibanez, Agustin/0000-0001-6758-5101; Birba, Agustina/0000-0001-5998-6634; Moguilner, Sebastian/0000-0003-1731-8325</t>
  </si>
  <si>
    <t>10.1016/j.cortex.2021.08.003</t>
  </si>
  <si>
    <t>WOS:000709712400002</t>
  </si>
  <si>
    <t>Smith-Ramírez, C; Grez, A; Galleguillos, M; Cerda, C; Ocampo-Melgar, A; Miranda, MD; Muñoz, AA; Rendón-Funes, A; Díaz, I; Cifuentes, C; Alaniz, A; Seguel, O; Ovalle, J; Montenegro, G; Saldes-Cortés, A; Martínez-Harms, MJ; Armesto, JJ; Vita, A</t>
  </si>
  <si>
    <t>Smith-Ramirez, Cecilia; Grez, Audrey; Galleguillos, Mauricio; Cerda, Claudia; Ocampo-Melgar, Anahi; Miranda, Marcelo D.; Munoz, Ariel A.; Rendon-Funes, Adriana; Diaz, Ivan; Cifuentes, Camila; Alaniz, Alberto; Seguel, Oscar; Ovalle, Juan; Montenegro, Gloria; Saldes-Cortes, Andrea; Martinez-Harms, Maria Jose; Armesto, Juan J.; Vita, Antonio</t>
  </si>
  <si>
    <t>Ecosystem services of Chilean sclerophyllous forests and shrublands on the verge of collapse: A review</t>
  </si>
  <si>
    <t>JOURNAL OF ARID ENVIRONMENTS</t>
  </si>
  <si>
    <t>Dryland forests are the areas most threatened by climate change, urbanization and land-use change simulta-neously. Ecosystem services provided by Mediterranean dryland forests are have been in steep decline, and are extensively studied in the Mediterranean basin, however considerably less in other areas with Mediterranean climates. Knowledge of these services is necessary for the promotion of their conservation and restoration. Here, we synthesize current knowledge regarding the main ecosystem services provided by Chilean Mediterranean sclerophyllous forests and shrublands (SFSh). This knowledge allows for the valuation of SFSh in order to conserve, restore and study them. We found 158 studies, including technical reports, theses, and scientific literature regarding the social and environmental benefits derived from Chilean SFSh, though many did not use the term ecosystem services (ES). We found data on 19 ecosystem services with four or more studies per service. ES studies in Chile increased in number a couple years after Millennium Ecosystem Assessment published its synthesis in 2005. The most frequently reported services were provisioning services, especially medicinal plants and extracts. Despite the advances in knowledge, ecosystem services of SFSh appear to be rarely quan-tified, most frequently using oversimplified variable indicators. Services related to animal biodiversity, such as</t>
  </si>
  <si>
    <t>Galleguillos, Mauricio/I-1571-2013; martinez, maria/L-9899-2019; Alaniz, Alberto/J-3104-2019; Grez, Audrey/G-8677-2013; Armesto, Juan/G-6467-2016; Vita, Antonio/K-4345-2018; Díaz García, Iván/A-9208-2019; Seguel, Oscar/D-8831-2015; Miranda, Marcelo/N-6462-2014; Cerda, Claudia/D-5315-2014</t>
  </si>
  <si>
    <t>Seguel, Oscar/0000-0001-7040-3604; Rendon Funes, Adriana Estefania/0000-0002-1725-4715; Miranda, Marcelo/0000-0002-8386-4888; Ovalle, Juan F./0000-0002-8487-3487; Ocampo-Melgar, Anahi/0000-0003-3135-6037; Martinez-Harms, Maria Jose/0000-0003-2655-3116; Cerda, Claudia/0000-0001-9478-9978; Munoz Navarro, Ariel/0000-0002-1719-4900</t>
  </si>
  <si>
    <t>0140-1963</t>
  </si>
  <si>
    <t>1095-922X</t>
  </si>
  <si>
    <t>10.1016/j.jaridenv.2022.104927</t>
  </si>
  <si>
    <t>WOS:000917278100001</t>
  </si>
  <si>
    <t>Ho, WCG; Espinoza, CM; Arzoumanian, Z; Enoto, T; Tamba, T; Antonopoulou, D; Bejger, M; Guillot, S; Haskell, B; Ray, PS</t>
  </si>
  <si>
    <t>Ho, Wynn C. G.; Espinoza, Cristobal M.; Arzoumanian, Zaven; Enoto, Teruaki; Tamba, Tsubasa; Antonopoulou, Danai; Bejger, Michal; Guillot, Sebastien; Haskell, Brynmor; Ray, Paul S.</t>
  </si>
  <si>
    <t>Return of the Big Glitcher: NICER timing and glitches of PSR J0537-6910</t>
  </si>
  <si>
    <t>PSR J0537-6910, also known as the Big Glitcher, is the most prolific glitching pulsar known, and its spin-induced pulsations are only detectable in X-ray. We present results from analysis of 2.7 yr of NICER timing observations, from 2017 August to 2020 April. We obtain a rotation phase-connected timing model for the entire time span, which overlaps with the third observing run of LIGO/Virgo, thus enabling the most sensitive gravitational wave searches of this potentially strong gravitational wave-emitting pulsar. We find that the short-term braking index between glitches decreases towards a value of 7 or lower at longer times since the preceding glitch. By combining NICER and RXTE data, we measure a long-term braking index n = -1.25 +/- 0.01. Our analysis reveals eight new glitches, the first detected since 2011, near the end of RXTE, with a total NICER and RXTE glitch activity of 8.88 x 10(-7) yr(-1). The new glitches follow the seemingly unique time-to-next-glitch-glitch-size correlation established previously using RXTE data, with a slope of 5 d mu Hz(-1). For one glitch around which NICER observes 2 d on either side, we search for but do not see clear evidence of spectral nor pulse profile changes that may be associated with the glitch.</t>
  </si>
  <si>
    <t>Ray, Tridib/B-1640-2015; Enoto, Teruaki/GQH-0674-2022; Bejger, Magdalena/W-7298-2018; Haskell, Brynmor/AAX-1002-2021; Espinoza, Cristobal/U-4428-2017</t>
  </si>
  <si>
    <t>Bejger, Michal/0000-0002-4991-8213; Antonopoulou, Danai/0000-0003-0746-5364; Haskell, Brynmor/0000-0002-8255-3519; Espinoza, Cristobal/0000-0003-2481-2348; Ho, Wynn/0000-0002-6089-6836; Ray, Paul/0000-0002-5297-5278</t>
  </si>
  <si>
    <t>10.1093/mnras/staa2640</t>
  </si>
  <si>
    <t>WOS:000587755500002</t>
  </si>
  <si>
    <t>Aragonès, AC; Aravena, D; Cerdá, JI; Acís-Castillo, Z; Li, HP; Real, JA; Sanz, F; Hihath, J; Ruiz, E; Díez-Pérez, I</t>
  </si>
  <si>
    <t>Aragones, Albert C.; Aravena, Daniel; Cerda, Jorge I.; Acis-Castillo, Zulema; Li, Haipeng; Antonio Real, Jose; Sanz, Fausto; Hihath, Josh; Ruiz, Eliseo; Diez-Perez, Ismael</t>
  </si>
  <si>
    <t>Large Conductance Switching in a Single-Molecule Device through Room Temperature Spin-Dependent Transport</t>
  </si>
  <si>
    <t>NANO LETTERS</t>
  </si>
  <si>
    <t>Controlling the spin of electrons in nanoscale electronic devices is one of the most promising topics aiming at developing devices with rapid and high density information storage capabilities. The interface magnetism or spinterface resulting from the interaction between a magnetic molecule and a metal surface, or vice versa, has become a key ingredient in creating nanoscale molecular devices with novel functionalities. Here, we present a single-molecule wire that displays large (&gt;10000%) conductance switching by controlling the spin-dependent transport under ambient conditions (room temperature in a liquid cell). The molecular wire is built by trapping individual spin crossover Fe-II complexes between one Au electrode and one ferromagnetic Ni electrode in an organic liquid medium. Large changes in the single-molecule conductance (&gt;100-fold) are measured when the electrons flow from the Au electrode to either an alpha-up or a beta-down spin-polarized Ni electrode. Our calculations show that the current flowing through such an interface appears to be strongly spin-polarized, thus resulting in the observed switching of the single-molecule wire conductance. The observation of such a high spin-dependent conductance switching in a single-molecule wire opens up a new door for the design and control of spin-polarized transport in nanoscale molecular devices at room temperature.</t>
  </si>
  <si>
    <t>Real, Jose/AAG-5746-2019; Cerda, Jorge/F-4043-2010; Li, Haipeng/X-7800-2018; Aragones, Albert C/P-8182-2018; Diez-Perez, Ismael/F-6402-2014; Aravena, Daniel/F-2174-2011; Ruiz, Eliseo/A-6268-2011</t>
  </si>
  <si>
    <t>Aragones, Albert C/0000-0002-1829-6941; Diez-Perez, Ismael/0000-0003-0513-8888; Aravena, Daniel/0000-0003-3140-4852; Ruiz, Eliseo/0000-0001-9097-8499; Hihath, Joshua/0000-0002-2949-9293; Real Cabezos, Jose Antonio/0000-0002-2302-561X</t>
  </si>
  <si>
    <t>1530-6984</t>
  </si>
  <si>
    <t>1530-6992</t>
  </si>
  <si>
    <t>10.1021/acs.nanolett.5b03571</t>
  </si>
  <si>
    <t>WOS:000368322700035</t>
  </si>
  <si>
    <t>Young, RM; Solis, CJ; Barriga-Fehrman, A; Abogabir, C; Thadani, AR; Labarca, M; Bustamante, E; Tapia, CV; Sarda, AG; Sepulveda, F; Pozas, N; Cerpa, LC; Lavanderos, MA; Varela, NM; Santibañez, A; Sandino, AM; Reyes-Lopez, F; Dixon, G; Quiñones, LA</t>
  </si>
  <si>
    <t>Young, Rodrigo M.; Solis, Camila J.; Barriga-Fehrman, Andres; Abogabir, Carlos; Thadani, Alvaro R.; Labarca, Mariana; Bustamante, Eva; Tapia, Cecilia, V; Sarda, Antonia G.; Sepulveda, Francisca; Pozas, Nadia; Cerpa, Leslie C.; Lavanderos, Maria A.; Varela, Nelson M.; Santibanez, Alvaro; Sandino, Ana M.; Reyes-Lopez, Felipe; Dixon, Garth; Quinones, Luis A.</t>
  </si>
  <si>
    <t>Smartphone screen testing, a novel pre-diagnostic method to identify SARS-CoV-2 infectious individuals</t>
  </si>
  <si>
    <t>ELIFE</t>
  </si>
  <si>
    <t>The COVID-19 pandemic will likely take years to control globally, and constant epidemic surveillance will be required to limit the spread of SARS-CoV-2, especially considering the emergence of new variants that could hamper the effect of vaccination efforts. We developed a simple and robust - Phone Screen Testing (PoST) - method to detect SARS-CoV-2-positive individuals by RT-PCR testing of smartphone screen swab samples. We show that 81.3-100% of individuals with high-viral-load SARS-CoV-2 nasopharyngeal-positive samples also test positive for PoST, suggesting this method is effective in identifying COVID-19 contagious individuals. Furthermore, we successfully identified polymorphisms associated with SARS-CoV-2 Alpha, Beta, and Gamma variants, in SARS-CoV-2-positive PoST samples. Overall, we report that PoST is a new non-invasive, cost-effective, and easy-to-implement smartphone-based smart alternative for SARS-CoV-2 testing, which could help to contain COVID-19 outbreaks and identification of variants of concern in the years to come.</t>
  </si>
  <si>
    <t>Varela, Nelson/I-3950-2015; Reyes-López, Felipe/S-1760-2018; Bustamante, Eva/AAI-9717-2021; Tapia, Cecilia/D-9351-2014; Quinones, Luis/AFA-8945-2022; Dixon, Garth/HPF-0615-2023; Young, Rodrigo/A-9512-2016</t>
  </si>
  <si>
    <t>Quinones, Luis/0000-0002-7967-5320; Dixon, Garth/0000-0001-8165-3094; Reyes-Lopez, Felipe E./0000-0002-5001-457X; Labarca, Mariana/0000-0001-6455-3569; Bustamante, Eva/0000-0002-3125-8608; Young, Rodrigo/0000-0001-5765-197X; Cerpa Castro, Leslie Carol/0000-0002-9525-389X; Solis Cascante, Camila/0000-0002-7195-523X</t>
  </si>
  <si>
    <t>2050-084X</t>
  </si>
  <si>
    <t>e70333</t>
  </si>
  <si>
    <t>10.7554/eLife.70333</t>
  </si>
  <si>
    <t>WOS:000672777900001</t>
  </si>
  <si>
    <t>Multimodal neurocognitive markers of frontal lobe epilepsy: Insights from ecological text processing</t>
  </si>
  <si>
    <t>The pressing call to detect sensitive cognitive markers of frontal lobe epilepsy (FLE) remains poorly addressed. Standard frameworks prove nosologically unspecific (as they reveal deficits that also emerge across other epilepsy subtypes), possess low ecological validity, and are rarely supported by multimodal neuroimaging assessments. To bridge these gaps, we examined naturalistic action and non-action text comprehension, combined with structural and functional connectivity measures, in 19 FLE patients, 19 healthy controls, and 20 posterior cortex epilepsy (PCE) patients. Our analyses integrated inferential statistics and data-driven machine-learning classifiers. FLE patients were selectively and specifically impaired in action comprehension, irrespective of their neuropsychological profile. These deficits selectively and specifically correlated with (a) reduced integrity of the anterior thalamic radiation, a subcortical structure underlying motoric and action-language processing as well as epileptic seizure spread in this subtype; and (b) hypoconnectivity between the primary motor cortex and the leftparietal/supramarginal regions, two putative substrates of action-language comprehension. Moreover, machine learning classifiers based on the above neurocognitive measures yielded 75% accuracy rates in discriminating individual FLE patients from both controls and PCE patients. Briefly, action-text assessments, combined with structural and functional connectivity measures, seem to capture ecological cognitive deficits that are specific to FLE, opening new avenues for discriminatory characterizations among epilepsy types.</t>
  </si>
  <si>
    <t>Ibanez, Agustin/0000-0001-6758-5101; Fino, Daniel/0000-0002-0248-3080; Moguilner, Sebastian/0000-0003-1731-8325; Birba, Agustina/0000-0001-5998-6634</t>
  </si>
  <si>
    <t>10.1016/j.neuroimage.2021.117998</t>
  </si>
  <si>
    <t>WOS:000662975000001</t>
  </si>
  <si>
    <t>Sánchez-Sáez, P; Arredondo, J; Bayo, A; Arévalo, P; Bauer, FE; Cabrera-Vives, G; Catelan, M; Coppi, P; Estévez, PA; Förster, F; Hernández-García, L; Huijse, P; Kurtev, R; Lira, P; Arancibia, AMM; Pignata, G</t>
  </si>
  <si>
    <t>Sanchez-Saez, P.; Arredondo, J.; Bayo, A.; Arevalo, P.; Bauer, F. E.; Cabrera-Vives, G.; Catelan, M.; Coppi, P.; Estevez, P. A.; Forster, F.; Hernandez-Garcia, L.; Huijse, P.; Kurtev, R.; Lira, P.; Arancibia, A. M. Munoz; Pignata, G.</t>
  </si>
  <si>
    <t>Persistent and occasional: Searching for the variable population of the ZTF/4MOST sky using ZTF Data Release 11</t>
  </si>
  <si>
    <t>Aims. We present a variability-, color-, and morphology-based classifier designed to identify multiple classes of transients and persistently variable and non-variable sources from the Zwicky Transient Facility (ZTF) Data Release 11 (DR11) light curves of extended and point sources. The main motivation to develop this model was to identify active galactic nuclei (AGN) at different redshift ranges to be observed by the 4MOST Chilean AGN/Galaxy Evolution Survey (ChANGES). That being said, it also serves as a more general time-domain astronomy study.Methods. The model uses nine colors computed from CatWISE and Pan-STARRS1 (PS1), a morphology score from PS1, and 61 single-band variability features computed from the ZTF DR11 g and r light curves. We trained two versions of the model, one for each ZTF band, since ZTF DR11 treats the light curves observed in a particular combination of field, filter, and charge-coupled device (CCD) quadrant independently. We used a hierarchical local classifier per parent node approach-where each node is composed of a balanced random forest model. We adopted a taxonomy with 17 classes: non-variable stars, non-variable galaxies, three transients (SNIa, SN-other, and CV/Nova), five classes of stochastic variables (lowz-AGN, midz-AGN, highz-AGN, Blazar, and YSO), and seven classes of periodic variables (LPV, EA, EB/EW, DSCT, RRL, CEP, and Periodic-other).Results. The macro-averaged precision, recall, and F1-score are 0.61, 0.75, and 0.62 for the g-band model, and 0.60, 0.74, and 0.61, for the r-band model. When grouping the four AGN classes (lowz-AGN, midz-AGN, highz-AGN, and Blazar) into one single class, its precision-recall, and F1-score are 1.00, 0.95, and 0.97, respectively, for both the g and r bands. This demonstrates the good performance of the model in classifying AGN candidates. We applied the model to all the sources in the ZTF/4MOST overlapping sky (-28 = Dec = 8.5), avoiding ZTF fields that cover the Galactic bulge (|gal_b| = 9 and gal_l = 50). This area includes 86 576 577 light curves in the g band and 140 409 824 in the r band with 20 or more observations and with an average magnitude in the corresponding band lower than 20.5. Only 0.73% of the g-band light curves and 2.62% of the r-band light curves were classified as stochastic, periodic, or transient with high probability (P-init = 0.9). Even though the metrics obtained for the two models are similar, we find that, in general, more reliable results are obtained when using the g-band model. With it, we identified 384 242 AGN candidates (including low-, mid-, and high-redshift AGN and Blazars), 287 156 of which have P-init = 0.9.</t>
  </si>
  <si>
    <t>Lira, Paulina/G-8536-2016; Bayo, Amelia/M-1322-2014; Forster, Francisco/AAH-6014-2021; Cabrera-Vives, Guillermo/AHA-0641-2022; Catelan, Márcio/JDV-7579-2023; Saez, Paula/AAX-2872-2020; Bauer, Franz Erik/AEU-0656-2022; Estevez, Pablo/A-9377-2008; Huijse, Pablo/J-4700-2015</t>
  </si>
  <si>
    <t>Bayo, Amelia/0000-0001-7868-7031; Coppi, Paolo/0000-0001-9604-2325; Pignata, Giuliano/0000-0003-0006-0188; Forster, Francisco/0000-0003-3459-2270; Sanchez-Saez, Paula/0000-0003-0820-4692; Estevez, Pablo/0000-0001-9164-4722; Catelan, Marcio/0000-0001-6003-8877; Arevalo, Patricia/0000-0001-5675-6323; Huijse, Pablo/0000-0003-3541-1697; Hernandez-Garcia, Lorena/0000-0002-8606-6961; Kurtev, Radostin/0000-0002-9740-9974; Arredondo, Javier/0000-0002-2045-7134; Cabrera-Vives, Guillermo/0000-0002-2720-7218; Bauer, Franz Erik/0000-0002-8686-8737</t>
  </si>
  <si>
    <t>JUL 20</t>
  </si>
  <si>
    <t>A195</t>
  </si>
  <si>
    <t>10.1051/0004-6361/202346077</t>
  </si>
  <si>
    <t>WOS:001033667500009</t>
  </si>
  <si>
    <t>Yan, L; Shamir, A; Skirzewski, M; Leiva-Salcedo, E; Kwon, OB; Karavanova, I; Paredes, D; Malkesman, O; Bailey, KR; Vullhorst, D; Crawley, JN; Buonanno, A</t>
  </si>
  <si>
    <t>Yan, L.; Shamir, A.; Skirzewski, M.; Leiva-Salcedo, E.; Kwon, O. B.; Karavanova, I.; Paredes, D.; Malkesman, O.; Bailey, K. R.; Vullhorst, D.; Crawley, J. N.; Buonanno, A.</t>
  </si>
  <si>
    <t>Neuregulin-2 ablation results in dopamine dysregulation and severe behavioral phenotypes relevant to psychiatric disorders</t>
  </si>
  <si>
    <t>MOLECULAR PSYCHIATRY</t>
  </si>
  <si>
    <t>Numerous genetic and functional studies implicate variants of Neuregulin-1 (NRG1) and its neuronal receptor ErbB4 in schizophrenia and many of its endophenotypes. Although the neurophysiological and behavioral phenotypes of NRG1 mutant mice have been investigated extensively, practically nothing is known about the function of NRG2, the closest NRG1 homolog. We found that NRG2 expression in the adult rodent brain does not overlap with NRG1 and is more extensive than originally reported, including expression in the striatum and medial prefrontal cortex (mPFC), and therefore generated NRG2 knockout mice (KO) to study its function. NRG2 KOs have higher extracellular dopamine levels in the dorsal striatum but lower levels in the mPFC; a pattern with similarities to dopamine dysbalance in schizophrenia. Like ErbB4 KO mice, NRG2 KOs performed abnormally in a battery of behavioral tasks relevant to psychiatric disorders. NRG2 KOs exhibit hyperactivity in a novelty-induced open field, deficits in prepulse inhibition, hypersensitivity to amphetamine, antisocial behaviors, reduced anxiety-like behavior in the elevated plus maze and deficits in the T-maze alteration reward test-a task dependent on hippocampal and mPFC function. Acute administration of clozapine rapidly increased extracellular dopamine levels in the mPFC and improved alternation T-maze performance. Similar to mice treated chronically with N-methyl-D-aspartate receptor (NMDAR) antagonists, we demonstrate that NMDAR synaptic currents in NRG2 KOs are augmented at hippocampal glutamatergic synapses and are more sensitive to ifenprodil, indicating an increased contribution of GluN2B-containing NMDARs. Our findings reveal a novel role for NRG2 in the modulation of behaviors with relevance to psychiatric disorders.</t>
  </si>
  <si>
    <t>Paredes, Daniel/GQO-8745-2022; Shamir, Alon/HOF-5499-2023</t>
  </si>
  <si>
    <t>Vullhorst, Detlef/0000-0002-7947-8044; Paredes, Daniel/0000-0002-9635-8001; Skirzewski, Miguel/0000-0002-0980-0878</t>
  </si>
  <si>
    <t>1359-4184</t>
  </si>
  <si>
    <t>1476-5578</t>
  </si>
  <si>
    <t>10.1038/mp.2017.22</t>
  </si>
  <si>
    <t>WOS:000431614600016</t>
  </si>
  <si>
    <t>Aragonès, AC; Aravena, D; Ugalde, JM; Medina, E; Gutierrez, R; Ruiz, E; Mujica, V; Díez-Pérez, I</t>
  </si>
  <si>
    <t>Aragones, Albert C.; Aravena, Daniel; Ugalde, Jesus M.; Medina, Ernesto; Gutierrez, Rafael; Ruiz, Eliseo; Mujica, Vladimiro; Diez-Perez, Ismael</t>
  </si>
  <si>
    <t>Magnetoresistive Single-Molecule Junctions: the Role of the Spinterface and the CISS Effect</t>
  </si>
  <si>
    <t>ISRAEL JOURNAL OF CHEMISTRY</t>
  </si>
  <si>
    <t>This review is an effort in putting together the latest results about room-temperature magnetoresistive (MR) effects in nanoscale/single-molecule electronic devices consisting of one (few) molecule(s) placed in electrical contact between two nanoscale electrodes. Molecules represent powerful building blocks for developing state-of-the-art MR devices, as they bring long spin relaxation timescales, low cost and high tunability of their electrical and magnetic properties via chemical modifications. The capability to control at room temperature and under bespoke electrodes' magnetization the MR response of a single-molecule (SM) device has been a longstanding quest. Such SM platforms could serve as fundamental tools to understand what the main mechanistic ingredients of MR effects in a molecular device are, leading to their use as building-blocks for miniaturization in spintronic applications. The work carried out so far in this field has identified two key components directly involved in the MR response of a single(few)-molecule(s) device: (i) The molecule|electrode spinterface, defining the interplay between interfacial electrostatics and spin density, has been proven to play a fundamental role in the interpretation of the observed single-molecule junction's MR effects, which is governed by the electrode material and the electrode-molecule chemistry. (ii) Two aspects of the molecular structure have been demonstrated to be involved in the spin-dependent conduction mechanism: (1) the presence of paramagnetic metal centres in the molecular structure and how their orbitals bearing the unpaired electrons couple with the device electrodes, and (2), the degree of chirality within the molecular wire. This contribution will focus on the above points (i-ii) by making use of specific examples in the literature.</t>
  </si>
  <si>
    <t>Aravena, Daniel/F-2174-2011; Gutierrez, Rafael/G-3573-2010; Ugalde, Jesus/M-2771-2014; Medina, Ernesto/G-4398-2011; Mujica, Vladimiro/GNM-9273-2022; Aragones, Albert C/P-8182-2018; Ruiz, Eliseo/A-6268-2011; Diez-Perez, Ismael/F-6402-2014</t>
  </si>
  <si>
    <t>Aragones, Albert C/0000-0002-1829-6941; Teorikoa, Kimika/0009-0006-5627-3798; Gutierrez, Rafael/0000-0001-8121-8041; Ruiz, Eliseo/0000-0001-9097-8499; Diez-Perez, Ismael/0000-0003-0513-8888</t>
  </si>
  <si>
    <t>0021-2148</t>
  </si>
  <si>
    <t>1869-5868</t>
  </si>
  <si>
    <t>10.1002/ijch.202200090</t>
  </si>
  <si>
    <t>WOS:000900343600001</t>
  </si>
  <si>
    <t>Awuviry-Newton, K; Amponsah, M; Amoah, D; Dintrans, PV; Afram, AA; Byles, J; Mugumbate, JR; Kowal, P; Asiamah, N</t>
  </si>
  <si>
    <t>Awuviry-Newton, Kofi; Amponsah, Mary; Amoah, Dinah; Dintrans, Pablo Villalobos; Afram, Adjeiwa Akosua; Byles, Julie; Mugumbate, Jacob Rugare; Kowal, Paul; Asiamah, Nestor</t>
  </si>
  <si>
    <t>Physical activity and functional disability among older adults in Ghana: The moderating role of multi-morbidity</t>
  </si>
  <si>
    <t>PLOS GLOBAL PUBLIC HEALTH</t>
  </si>
  <si>
    <t>Knowledge about how physical activity levels relate to functional disability is essential for health promotion and planning older adults' care or rehabilitation. The risk of living with one or more chronic health conditions increases with increasing age in lower and higher income countries-many of which are associated with physical inactivity. We conducted a cross-sectional study to examine the moderating role of multimorbidity on physical activity and its measures on functional disability among older adults in Ghana. Data from WHO's Study on global AGEing and adult health Ghana Wave 2 with a sample of 4,446 people aged 50+ years was used for this study. Functional disability was assessed using the 12-item WHO Disability Assessment Schedule 2.0. Three categories of physical activity levels were used: vigorous intensity, moderate intensity, and walking. Past month diagnosis by a doctor was used to assess the presence of a chronic condition, and the presence of two or more conditions was used to define multi-morbidity. Logistic regressions with a post hoc interactional tests were used to examine the associations. Overall, physical activity had a significant association with functional disability (OR = 0.25, 95%CI; 0.12, 0.32). A similar relationship was found for vigorous-intensity (OR = 0.19, 95%CI: 0.12, 0.29), moderate-intensity (OR = 0.19, 95%CI: 0.15, 0.25) and walking (OR = 0.41, 95%CI: 0.33, 0.51). Older adults living with one condition and physically active were 47% less likely to experience functional disability compared with the less active counterparts living with at least two chronic conditions. Among the three measures of physical activity, multimorbidity moderated the relationship between walking and functional disability. Future strategies for meeting the health and longterm care needs of older adults, particularly those living with only one chronic condition in Ghana should consider encouraging walking. Policies, financial assistance, family, and community level interventions aimed to promote and sustain physical activity among older adults should be a priority for stakeholders in Ghana.</t>
  </si>
  <si>
    <t>Awuviry-Newton, Kofi/AAP-1846-2020; Amponsah, Mary/AAF-5226-2019; Asiamah, Nestor/T-7594-2018; Byles, Julie/IQS-6756-2023; Dintrans, Pablo/AAM-6248-2020; Amoah, Dinah/ABN-6162-2022; Awuviry-Newton, Kofi/O-7488-2016</t>
  </si>
  <si>
    <t>Asiamah, Nestor/0000-0002-1157-6430; Awuviry-Newton, Kofi/0000-0001-9109-0694; AMOAH, DINAH/0000-0002-4620-1372</t>
  </si>
  <si>
    <t>2767-3375</t>
  </si>
  <si>
    <t>MAR 8</t>
  </si>
  <si>
    <t>e0001014</t>
  </si>
  <si>
    <t>10.1371/journal.pgph.0001014</t>
  </si>
  <si>
    <t>WOS:001417844300001</t>
  </si>
  <si>
    <t>Jiang, B; Aliyan, A; Cook, NP; Augustine, A; Bhak, G; Maldonado, R; McWilliams, ADS; Flores, EM; Mendez, N; Shahnawaz, M; Godoy, FJ; Montenegro, J; Moreno-Gonzalez, I; Martí, AA</t>
  </si>
  <si>
    <t>Jiang, Bo; Aliyan, Amir; Cook, Nathan P.; Augustine, Andrea; Bhak, Ghibom; Maldonado, Rodrigo; McWilliams, Ashleigh D. Smith; Flores, Erick M.; Mendez, Nicolas; Shahnawaz, Mohammad; Godoy, Fernando J.; Montenegro, Javier; Moreno-Gonzalez, Ines; Marti, Angel A.</t>
  </si>
  <si>
    <t>Monitoring the Formation of Amyloid Oligomers Using Photoluminescence Anisotropy</t>
  </si>
  <si>
    <t>The formation of oligomeric soluble aggregates is related to the toxicity of amyloid peptides and proteins. In this manuscript, we report the use of a ruthenium polypyridyl complex ([Ru(bpy)(2)(dpqp)](2+)) to track the formation of amyloid oligomers at different times using photoluminescence anisotropy. This technique is sensitive to the rotational correlation time of the molecule under study, which is consequently related to the size of the molecule. [Ru(bpy)(2)(dpqp)](2+) presents anisotropy values of zero when free in solution (due to its rapid rotation and long lifetime) but larger values as the size and concentration of amyloid-beta (A beta) oligomers increase. Our assays show that A beta forms oligomers immediately after the assay is started, reaching a steady state at similar to 48 h. SDS-PAGE, DLS, and TEM were used to confirm and characterize the formation of oligomers. Our experiments show that the rate of formation for A beta oligomers is temperature dependent, with faster rates as the temperature of the assay is increased. The probe was also effective in monitoring the formation of alpha-synuclein oligomers at different times.</t>
  </si>
  <si>
    <t>Marti, Angel/C-2762-2008; Moreno-Gonzalez, Ines/AAA-2222-2019; Flores, Erick/GPK-2155-2022; McWilliams, Ashleigh/Y-2592-2018; Jiang, Bo/HHD-1756-2022; Shahnawaz, Mohammad/AAJ-1894-2020; Montenegro, Javier/K-8895-2016</t>
  </si>
  <si>
    <t>Montenegro, Javier/0000-0001-6503-2095; Jiang, Bo/0000-0001-9225-1592; Bhak, Ghibom/0000-0001-9560-6192; Godoy, Fernando/0000-0002-3916-4753; Flores, Dr. Erick/0000-0002-2573-6650; Cook, Nathan/0000-0002-6270-181X; Augustine, Andrea/0000-0002-6919-8225</t>
  </si>
  <si>
    <t>OCT 2</t>
  </si>
  <si>
    <t>10.1021/jacs.9b06966</t>
  </si>
  <si>
    <t>WOS:000489001500020</t>
  </si>
  <si>
    <t>Pedersen, KS; Meihaus, KR; Rogalev, A; Wilhelm, F; Aravena, D; Amoza, M; Ruiz, E; Long, JR; Bendix, J; Clérac, R</t>
  </si>
  <si>
    <t>Pedersen, Kasper S.; Meihaus, Katie R.; Rogalev, Andrei; Wilhelm, Fabrice; Aravena, Daniel; Amoza, Martin; Ruiz, Eliseo; Long, Jeffrey R.; Bendix, Jesper; Clerac, Rodolphe</t>
  </si>
  <si>
    <t>[UF6]2-: A Molecular Hexafluorido Actinide(IV) Complex with Compensating Spin and Orbital Magnetic Moments</t>
  </si>
  <si>
    <t>The first structurally characterized hexafluorido complex of a tetravalent actinide ion, the [UF6](2-) anion, is reported in the (NEt4)(2)[UF6].2 H2O salt (1). The weak magnetic response of 1 results from both U-IV spin and orbital contributions, as established by combining X-ray magnetic circular dichroism (XMCD) spectroscopy and bulk magnetization measurements. The spin and orbital moments are virtually identical in magnitude, but opposite in sign, resulting in an almost perfect cancellation, which is corroborated by ab initio calculations. This work constitutes the first experimental demonstration of a seemingly non-magnetic molecular actinide complex carrying sizable spin and orbital magnetic moments.</t>
  </si>
  <si>
    <t>, Jeff/AAI-3575-2020; Clérac, Rodolphe/C-2800-2008; Gross, Roy/I-3360-2014; Pedersen, Kasper Steen/A-2449-2011; Ruiz, Eliseo/A-6268-2011; Bendix, Jesper/H-5468-2012; Aravena, Daniel/F-2174-2011</t>
  </si>
  <si>
    <t>Pedersen, Kasper Steen/0000-0002-4381-4544; Ruiz, Eliseo/0000-0001-9097-8499; Bendix, Jesper/0000-0003-1255-2868; CLERAC, Rodolphe/0000-0001-5429-7418; Aravena, Daniel/0000-0003-3140-4852; Amoza Davila, Martin/0000-0001-6609-8870</t>
  </si>
  <si>
    <t>OCT 28</t>
  </si>
  <si>
    <t>10.1002/anie.201905056</t>
  </si>
  <si>
    <t>AUG 2019</t>
  </si>
  <si>
    <t>WOS:000481299100001</t>
  </si>
  <si>
    <t>Otálora, JA; Yan, M; Schultheiss, H; Hertel, R; Kákay, A</t>
  </si>
  <si>
    <t>Otalora, Jorge A.; Yan, Ming; Schultheiss, Helmut; Hertel, Riccardo; Kakay, Attila</t>
  </si>
  <si>
    <t>Curvature-Induced Asymmetric Spin-Wave Dispersion</t>
  </si>
  <si>
    <t>In magnonics, spin waves are conceived of as electron-charge-free information carriers. Their wave behavior has established them as the key elements to achieve low power consumption, fast operative rates, and good packaging in magnon-based computational technologies. Hence, knowing alternative ways that reveal certain properties of their undulatory motion is an important task. Here, we show using micromagnetic simulations and analytical calculations that spin-wave propagation in ferromagnetic nanotubes is fundamentally different than in thin films. The dispersion relation is asymmetric regarding the sign of the wave vector. It is a purely curvature-induced effect and its fundamental origin is identified to be the classical dipole-dipole interaction. The analytical expression of the dispersion relation has the same mathematical form as in thin films with the Dzyalonshiinsky-Moriya interaction. Therefore, this curvature-induced effect can be seen as a dipole-induced Dzyalonshiinsky-Moriya-like effect.</t>
  </si>
  <si>
    <t>Kakay, Attila/AAA-7235-2021; Schultheiß, Helmut/AAB-3119-2020; Yan, Ming/GRX-7006-2022; Hertel, Riccardo/P-5806-2016; Hertel, Riccardo/H-9964-2016; Otalora Arias, Jorge Augusto/I-1830-2014</t>
  </si>
  <si>
    <t>Hertel, Riccardo/0000-0002-0646-838X; Otalora Arias, Jorge Augusto/0000-0001-5893-5173</t>
  </si>
  <si>
    <t>10.1103/PhysRevLett.117.227203</t>
  </si>
  <si>
    <t>WOS:000388630000029</t>
  </si>
  <si>
    <t>Tadich, TA; de Freslón, I; Gallo, C; Zúñiga, JM; Vargas, R; Torres, CG; Tadich, N; Gimpel, J; Martinez, C; Sandoval, D; Enríquez, R; Alfaro, J; Muñoz, P; Paredes, R; Erranz, B; Carvacho, I; Mezzano, M; Herrera, EA</t>
  </si>
  <si>
    <t>Tadich, Tamara A.; de Freslon, Ines; Gallo, Carmen; Zuniga, Jesus M.; Vargas, Ronald; Torres, Cristian G.; Tadich, Nestor; Gimpel, Jessica; Martinez, Claudio; Sandoval, Daniel; Enriquez, Ricardo; Alfaro, Julio; Munoz, Pablo; Paredes, Rodolfo; Erranz, Benjamin; Carvacho, Ingrid; Mezzano, Marcelo; Herrera, Emilio A.</t>
  </si>
  <si>
    <t>Incorporation of bioethical standards for the generation of high quality scientific knowledge from research in wildlife: Science with conscience</t>
  </si>
  <si>
    <t>GAYANA</t>
  </si>
  <si>
    <t>Research using wild animals has diverse aims, such as conservation, environmental management, and the generation of knowledge. The aim of the Institutional Animal Care and Use Committees (IACUCs) is to assure that such research is carried out under high bioethical and animal welfare standards, minimizing animal suffering and environmental impact. This manuscript highlights the relevance of IACUCs as an ally to adjust the procedures on animals to the norm and thus facilitate scientific progress.</t>
  </si>
  <si>
    <t>Martinez, Claudio/MGS-9961-2025; Torres, Cristian/M-5791-2014; Paredes, Rodolfo/AFL-4343-2022; Tadich, Tamara/U-6154-2019; Tadich, Tamara/H-9753-2013; Herrera, Emilio A/H-5992-2018</t>
  </si>
  <si>
    <t>Paredes, Rodolfo/0000-0002-5909-9362; Tadich, Tamara/0000-0003-1620-7770; Herrera, Emilio A/0000-0002-6342-085X; Torres, Cristian/0000-0003-0019-2404</t>
  </si>
  <si>
    <t>0717-6538</t>
  </si>
  <si>
    <t>WOS:000605976600008</t>
  </si>
  <si>
    <t>Doetterl, S; Stevens, A; Six, J; Merckx, R; Van Oost, K; Pinto, MC; Casanova-Katny, A; Muñoz, C; Boudin, M; Venegas, EZ; Boeckx, P</t>
  </si>
  <si>
    <t>Doetterl, Sebastian; Stevens, Antoine; Six, Johan; Merckx, Roel; Van Oost, Kristof; Casanova Pinto, Manuel; Casanova-Katny, Angelica; Munoz, Cristina; Boudin, Mathieu; Zagal Venegas, Erick; Boeckx, Pascal</t>
  </si>
  <si>
    <t>Soil carbon storage controlled by interactions between geochemistry and climate</t>
  </si>
  <si>
    <t>NATURE GEOSCIENCE</t>
  </si>
  <si>
    <t>Soils are an important site of carbon storage(1). Climate is generally regarded as one of the primary controls over soil organic carbon(1,2), but there is still uncertainty about the direction and magnitude of carbon responses to climate change. Here we show that geochemistry, too, is an important controlling factor for soil carbon storage. We measured a range of soil and climate variables at 24 sites along a 4,000-km-long north-south transect of natural grassland and shrubland in Chile and the Antarctic Peninsula, which spans a broad range of climatic and geochemical conditions. We find that soils with high carbon content are characterized by substantial adsorption of carbon compounds onto mineral soil and low rates of respiration per unit of soil carbon; and vice versa for soils with low carbon content. Precipitation and temperature were only secondary predictors for carbon storage, respiration, residence time and stabilization mechanisms. Correlations between climatic variables and carbon variables decreased significantly after removing relationships with geochemical predictors. We conclude that the interactions of climatic and geochemical factors control soil organic carbon storage and turnover, and must be considered for robust prediction of current and future soil carbon storage.</t>
  </si>
  <si>
    <t>Casanova-Katny, Angelica/M-3994-2014; six, johan/J-5228-2015; Muñoz, Cristina/AAS-5101-2021; Zagal, Erick/C-1460-2012; Doetterl, Sebastian/KIA-6575-2024; Van Oost, Kristof/B-6941-2008; Pinto, Marina/AAA-6633-2022; Casanova, Manuel/I-3880-2013</t>
  </si>
  <si>
    <t>Casanova, Manuel/0000-0002-2039-7469; Doetterl, Sebastian/0000-0002-0986-891X; six, johan/0000-0001-9336-4185; Munoz, Cristina/0000-0001-7439-8822; Merckx, Roel/0000-0001-6440-5363; Zagal, Erick/0000-0003-3900-9769</t>
  </si>
  <si>
    <t>1752-0894</t>
  </si>
  <si>
    <t>1752-0908</t>
  </si>
  <si>
    <t>10.1038/NGEO2516</t>
  </si>
  <si>
    <t>WOS:000363951200017</t>
  </si>
  <si>
    <t>Cordero, RR; Feron, S; Damiani, A; MacDonell, S; Carrasco, J; Pizarro, J; Karas, C; Jorquera, J; Sepulveda, E; Cabello, F; Fernandoy, F; Wang, CH; Khan, AL; Casassa, G</t>
  </si>
  <si>
    <t>Cordero, Raul R.; Feron, Sarah; Damiani, Alessandro; MacDonell, Shelley; Carrasco, Jorge; Pizarro, Jaime; Karas, Cyrus; Jorquera, Jose; Sepulveda, Edgardo; Cabello, Fernanda; Fernandoy, Francisco; Wang, Chenghao; Khan, Alia L.; Casassa, Gino</t>
  </si>
  <si>
    <t>Rapid decline in extratropical Andean snow cover driven by the poleward migration of the Southern Hemisphere westerlies</t>
  </si>
  <si>
    <t>Seasonal snow in the extratropical Andes is a primary water source for major rivers supplying water for drinking, agriculture, and hydroelectric power in Central Chile. Here, we used estimates from the Moderate Resolution Imaging Spectroradiometer (MODIS) to analyze changes in snow cover extent over the period 2001-2022 in a total of 18 watersheds spanning approximately 1,100 km across the Chilean Andes (27-36 degrees S). We found that the annual snow cover extent is receding in the watersheds analyzed at an average pace of approximately 19% per decade. These alarming trends have impacted meltwater runoff, resulting in historically low river streamflows during the dry season. We examined streamflow records dating back to the early 1980s for 10 major rivers within our study area. Further comparisons with large-scale climate modes suggest that the detected decreasing trends in snow cover extent are likely driven by the poleward migration of the westerly winds associated with a positive trend in the Southern Annular Mode (SAM).</t>
  </si>
  <si>
    <t>MacDonell, Shelley/J-2480-2016; Wang, Chenghao/O-7961-2017; Karas, Cyrus/V-5775-2017; Cordero, Raul/M-7979-2017</t>
  </si>
  <si>
    <t>Feron, Sarah/0000-0002-0572-5639; Karas, Cyrus/0000-0002-7436-5016; MacDonell, Shelley/0000-0001-9641-4547</t>
  </si>
  <si>
    <t>NOV 11</t>
  </si>
  <si>
    <t>10.1038/s41598-024-78014-0</t>
  </si>
  <si>
    <t>WOS:001352968700015</t>
  </si>
  <si>
    <t>Cruces, E; Arancibia-Miranda, N; Manquián-Cerda, K; Perreault, F; Bolan, N; Azócar, MI; Cubillos, V; Montory, J; Rubio, MA; Sarkar, B</t>
  </si>
  <si>
    <t>Cruces, Edgardo; Arancibia-Miranda, Nicolas; Manquian-Cerda, Karen; Perreault, Francois; Bolan, Nanthi; Ignacio Azocar, Manuel; Cubillos, Victor; Montory, Jaime; Angelica Rubio, Maria; Sarkar, Binoy</t>
  </si>
  <si>
    <t>Copper/Silver Bimetallic Nanoparticles Supported on Aluminosilicate Geomaterials as Antibacterial Agents</t>
  </si>
  <si>
    <t>ACS APPLIED NANO MATERIALS</t>
  </si>
  <si>
    <t>This study aims to understand how properties of modified aluminosilicate geomaterials influence the antibacterial performance of nanocomposites when prepared with bimetallic nanoparticles (NPs). Copper/silver (Cu/Ag) bimetallic NPs were synthesized in the presence of imogolite (Imo), montmorillonite (Mtt), or zeolite (Zeo) using a simple onepot method and characterized for their crystal phases, micro- and nanomorphologies, particle size, elemental composition, and electrophoretic mobility. The antibacterial activity was evaluated through minimum inhibition concentration assays of NPs and nanocomposites for Gram (-) Escherichia coli and Gram (+) Staphylococcus aureus bacteria. Deposition of metallic Cu-0, Ag-0, and cuprite NPs was confirmed in Zeo_Cu/Ag and Imo_Cu/Ag nanocomposites, whereas only Cu-0 and Ag-0 were identified in Mtt_Cu/Ag. The bimetallic NPs were more uniformly distributed on Zeo and Mtt than Imo. Particle sizes of 28.1 +/- 5.0, 9.4 +/- 2.3, 10.1 +/- 1.7, and 12 +/- 1.3 nm were determined for Cu/Ag NPs, Imo_Cu/Ag, Mtt_Cu/Ag, and Zeo_Cu/Ag, respectively. The release rate of Cu and Ag ions from Zeo_Cu/Ag was higher than those of pristine Cu/Ag NPs and the other two nanocomposites. The antimicrobial action of bimetallic NPs and nanocomposites was dose-dependent in relation to the concentration of concerned materials and their stability in the medium. The physicochemical characteristics of Zeo resulted in a homogeneous distribution and low oxidation and agglomeration of Cu/Ag NPs, consequently increasing the antibacterial activity. Results of this study highlight the benefits of using a geomaterial support to achieve high antibacterial activity of bimetallic NPs, which could help reduce the consumption of pure Cu/Ag salts in NP-based antibacterial applications.</t>
  </si>
  <si>
    <t>Bajo, Maria/ABF-6991-2020; Perreault, François/C-9660-2012; Sarkar, Binoy/A-5187-2019; Arancibia-Miranda, Nicolás/I-6743-2013; Azocar, Manuel/I-1226-2013; Bolan, Nanthi/E-8535-2011; Sarkar, Binoy/D-1573-2011</t>
  </si>
  <si>
    <t>Bolan, Nanthi/0000-0003-2056-1692; Sarkar, Binoy/0000-0002-4196-1225; Arancibia-Miranda, Nicolas/0000-0002-0142-6922; Perreault, Francois/0000-0002-4756-8205; Cruces, Edgardo/0000-0003-4537-552X</t>
  </si>
  <si>
    <t>2574-0970</t>
  </si>
  <si>
    <t>10.1021/acsanm.1c04031</t>
  </si>
  <si>
    <t>WOS:000740506500001</t>
  </si>
  <si>
    <t>Morales-Camilo, N; Liu, JZ; Ramirez, MJ; Canales-Salgado, P; Alegria, JJ; Liu, XY; Ong, HT; Barrera, NP; Fierro, A; Toyama, Y; Goult, BT; Wang, YL; Meng, Y; Nishimura, R; Fong-Ngern, K; Low, CSL; Kanchanawong, P; Yan, J; Ravasio, A; Bertocchi, C</t>
  </si>
  <si>
    <t>Morales-Camilo, Nicole; Liu, Jingzhun; Ramirez, Manuel J.; Canales-Salgado, Patricio; Alegria, Juan Jose; Liu, Xuyao; Ong, Hui Ting; Barrera, Nelson P.; Fierro, Angelica; Toyama, Yusuke; Goult, Benjamin T.; Wang, Yilin; Meng, Yue; Nishimura, Ryosuke; Fong-Ngern, Kedsarin; Low, Christine Siok Lan; Kanchanawong, Pakorn; Yan, Jie; Ravasio, Andrea; Bertocchi, Cristina</t>
  </si>
  <si>
    <t>Alternative molecular mechanisms for force transmission at adherens junctions via β-catenin-vinculin interaction</t>
  </si>
  <si>
    <t>Force transmission through adherens junctions (AJs) is crucial for multicellular organization, wound healing and tissue regeneration. Recent studies shed light on the molecular mechanisms of mechanotransduction at the AJs. However, the canonical model fails to explain force transmission when essential proteins of the mechanotransduction module are mutated or missing. Here, we demonstrate that, in absence of alpha-catenin, beta-catenin can directly and functionally interact with vinculin in its open conformation, bearing physiological forces. Furthermore, we found that beta-catenin can prevent vinculin autoinhibition in the presence of alpha-catenin by occupying vinculins head-tail interaction site, thus preserving force transmission capability. Taken together, our findings suggest a multi-step force transmission process at AJs, where alpha-catenin and beta-catenin can alternatively and cooperatively interact with vinculin. This can explain the graded responses needed to maintain tissue mechanical homeostasis and, importantly, unveils a force-bearing mechanism involving beta-catenin and extended vinculin that can potentially explain the underlying process enabling collective invasion of metastatic cells lacking alpha-catenin. Adherens junctions mediate force transmission and connect the cytoskeleton of adjacent cells. This study demonstrates that force transmission can be achieved through direct and functional beta-catenin/vinculin interaction in the absence of alpha-catenin.</t>
  </si>
  <si>
    <t>Bertocchi, Cristina/GSJ-6994-2022; Yan, Jie/G-2725-2012; Liu, Xuyao/GPW-7917-2022; Morales, Nicole/LDF-5348-2024; Kanchanawong, Pakorn/M-1315-2017; Nishimura, Ryosuke/HKM-6453-2023; Goult, Ben/B-3127-2009; Alegría-Olivera, Juan/AAR-3302-2020; Ravasio, Andrea/H-6722-2012; Fierro, Angelica/AAJ-2533-2020; Toyama, Yusuke/H-8023-2012</t>
  </si>
  <si>
    <t>Toyama, Yusuke/0000-0003-3230-1062; Bertocchi, Cristina/0000-0003-0907-1318; Goult, Ben/0000-0002-3438-2807; Fierro Huerta, Angelica/0000-0002-6507-4188; Morales Camilo, Nicole/0009-0003-3610-1460</t>
  </si>
  <si>
    <t>10.1038/s41467-024-49850-5</t>
  </si>
  <si>
    <t>WOS:001263353700020</t>
  </si>
  <si>
    <t>Ramirez-Vélez, R; García-Hermoso, A; Correa-Rodríguez, M; Lobelo, F; González-Ruiz, K; Izquierdo, M</t>
  </si>
  <si>
    <t>Ramirez-Velez, Robinson; Garcia-Hermoso, Antonio; Correa-Rodriguez, Maria; Lobelo, Felipe; Gonzalez-Ruiz, Katherine; Izquierdo, Mikel</t>
  </si>
  <si>
    <t>Abdominal aortic calcification is associated with decline in handgrip strength in the US adult population &gt;40 years of age</t>
  </si>
  <si>
    <t>Background and aims: The present study investigated the association between abdominal aortic calcification (AAC) and handgrip strength (HGS) and the ability of HGS to predict an increased AAC phenotype in adults. Methods and results: The analysis consisted of data for 3140 men and women aged &gt;40 years (51.7% women) from the 2013-2014 NHANES. Lateral scans of the thoraco-lumbar spine (L1-L4) were scored for AAC using a validated 8-point scale (AAC-8); subjects with a score of &gt;3 were considered at increased risk for cardiovascular disease due to a high AAC phenotype. HGS was assessed using a grip dynamometer. The prevalence of severe AAC in the population was 9.0%. Decline in HGS was associated with higher AAC-8 scores in men and women (p &lt; 0.001). General linear model analysis showed that HGS levels were negatively associated with high AAC (p &lt; 0.001) and AAC-8 status for both sexes. Likewise, for each 5-kg higher HGS, there lower odds of a high AAC phenotype (in men OR = 0.73, CI95%, 0.64-0.84) and (women OR = 0.58, CI95%, 0.47-0.70). Receiver operating characteristic curve analysis showed that the HGS threshold value to detect high risk of AAC in adults was &gt;37.3 kg (AUC = 0.692) in men and 25.1 kg (AUC = 0.705) in women. Conclusion: Lower muscular strength, as measured by HGS, is associated with higher AAC scores in the U.S. population &gt;40 years of age. Accordingly, maintenance of muscular strength during aging may protect adults against vascular calcification, an independent predictor of cardiovascular events. HGS measurement seems to be a valid screening tool for detecting a high ACC phenotype in adults. (c) 2020 The Italian Diabetes Society, the Italian Society for the Study of Atherosclerosis, the Italian Society of Human Nutrition and the Department of Clinical Medicine and Surgery, Federico II University. Published by Elsevier B.V. All rights reserved.</t>
  </si>
  <si>
    <t>González-Ruíz, Katherine/CAA-4624-2022; Lobelo, R.L/AAB-2264-2021; García-Hermoso, Antonio/ADU-2591-2022; Correa-Rodriguez, Maria/G-1793-2018; Izquierdo, Mikel/A-4894-2010; Ramirez-Velez, Robinson/D-5311-2016; Garcia-Hermoso, Antonio/P-1857-2017</t>
  </si>
  <si>
    <t>Correa-Rodriguez, Maria/0000-0001-9165-4349; Izquierdo, Mikel/0000-0002-1506-4272; Ramirez-Velez, Robinson/0000-0003-3075-6960; Gonzalez-Ruiz, Katherine/0000-0001-7518-0761; Garcia-Hermoso, Antonio/0000-0002-1397-7182</t>
  </si>
  <si>
    <t>10.1016/j.numecd.2020.11.003</t>
  </si>
  <si>
    <t>WOS:000632557600005</t>
  </si>
  <si>
    <t>Ramirez-Campillo, R; Alvarez, C; Garcia-Hermoso, A; Keogh, JWL; García-Pinillos, F; Pereira, LA; Loturco, I</t>
  </si>
  <si>
    <t>Ramirez-Campillo, Rodrigo; Alvarez, Cristian; Garcia-Hermoso, Antonio; Keogh, Justin W. L.; Garcia-Pinillos, Felipe; Pereira, Lucas A.; Loturco, Irineu</t>
  </si>
  <si>
    <t>Effects of jump training on jumping performance of handball players: A systematic review with meta-analysis of randomised controlled trials</t>
  </si>
  <si>
    <t>INTERNATIONAL JOURNAL OF SPORTS SCIENCE &amp; COACHING</t>
  </si>
  <si>
    <t>This study aimed to assess the effects of jump training on the jumping performance of handball players compared with a control condition. The data sources utilised were PubMed, MEDLINE, Web of Science Core Collection and SCOPUS. Only peer-review randomised controlled trials were included. The inclusion criteria comprised: a jump training programme of at least 2 weeks; a control group; the assessment of the countermovement jump. The Physiotherapy Evidence Database scale was used to assess the risk of bias and methodological quality of eligible studies included in the meta-analysis. Risk of publication bias across studies was assessed using the extended Egger's test. Cohen's d effect sizes (ESs) were calculated from the countermovement jump and presented together with 95% confidence intervals (CIs). From 6108 records initially identified through database searching, 5 were eligible for meta-analysis. A significant improvement in countermovement jump height was observed, corresponding to 6.4 cm (95% CI = 4.9-7.9; Z = 8.4, p &lt; 0.001), showing moderate heterogeneity (I-2 = 51.4%). The magnitude of the main effect was very large (ES = 2.2 (95% CI = 0.95-3.4), Z = 3.5, p &lt; 0.001). Jump training is effective in increasing vertical jump performance in handball players. However, the insufficient number of studies conducted precluded analyses of moderator variables. In future, researchers are advised to conduct jump training studies of high methodological quality (e.g. randomised controlled trials) and assess different jump exercise prescriptions across handball players of different sexes, ages and competitive levels to analyse if exercise prescription and player characteristics may influence training responses.</t>
  </si>
  <si>
    <t>Ramirez-Campillo, Rodrigo/M-1258-2016; Keogh, Justin/I-5045-2019; ALVAREZ, CRISTIAN/S-8150-2019; García-Hermoso, Antonio/ADU-2591-2022; PEREIRA, LUCAS/HHZ-5877-2022; Loturco, Irineu/AAH-4916-2019; Garcia-Hermoso, Antonio/P-1857-2017; Garcia-Pinillos, Felipe/L-5703-2019</t>
  </si>
  <si>
    <t>Garcia-Hermoso, Antonio/0000-0002-1397-7182; Ramirez-Campillo, Rodrigo/0000-0003-2035-3279; Keogh, Justin/0000-0001-9851-1068; Alvarez, Cristian/0000-0003-4783-9981; LOTURCO, IRINEU/0000-0003-1309-2568; Garcia-Pinillos, Felipe/0000-0002-7518-8234</t>
  </si>
  <si>
    <t>1747-9541</t>
  </si>
  <si>
    <t>2048-397X</t>
  </si>
  <si>
    <t>10.1177/1747954120928932</t>
  </si>
  <si>
    <t>WOS:000538088100001</t>
  </si>
  <si>
    <t>Robinson, S; Burian, A; Couturier, E; Landrein, B; Louveaux, M; Neumann, ED; Peaucelle, A; Weber, A; Nakayama, N</t>
  </si>
  <si>
    <t>Robinson, Sarah; Burian, Agata; Couturier, Etienne; Landrein, Benoit; Louveaux, Marion; Neumann, Enrique D.; Peaucelle, Alexis; Weber, Alain; Nakayama, Naomi</t>
  </si>
  <si>
    <t>Mechanical control of morphogenesis at the shoot apex</t>
  </si>
  <si>
    <t>JOURNAL OF EXPERIMENTAL BOTANY</t>
  </si>
  <si>
    <t>Morphogenesis does not just require the correct expression of patterning genes; these genes must induce the precise mechanical changes necessary to produce a new form. Mechanical characterization of plant growth is not new; however, in recent years, new technologies and interdisciplinary collaborations have made it feasible in young tissues such as the shoot apex. Analysis of tissues where active growth and developmental patterning are taking place has revealed biologically significant variability in mechanical properties and has even suggested that mechanical changes in the tissue can feed back to direct morphogenesis. Here, an overview is given of the current understanding of the mechanical dynamics and its influence on cellular and developmental processes in the shoot apex. We are only starting to uncover the mechanical basis of morphogenesis, and many exciting questions remain to be answered.</t>
  </si>
  <si>
    <t>Landrein, Benoit/AAD-8272-2019; Robinson, Sarah/AAX-6505-2020; Nakayama, Nari/MHR-2771-2025; Burian, Agata/AAD-7447-2019</t>
  </si>
  <si>
    <t>Burian, Agata/0000-0002-8912-483X; Landrein, Benoit/0000-0002-2371-9996; Peaucelle, Alexis/0000-0002-8582-6500; Robinson, Sarah/0000-0001-7643-1059; Louveaux, Marion/0000-0002-1794-3748</t>
  </si>
  <si>
    <t>0022-0957</t>
  </si>
  <si>
    <t>1460-2431</t>
  </si>
  <si>
    <t>10.1093/jxb/ert199</t>
  </si>
  <si>
    <t>WOS:000326967600008</t>
  </si>
  <si>
    <t>Martinez-Brunner, R; Casassus, S; Pérez, S; Hales, A; Weber, P; Cárcamo, M; Arce-Tord, C; Cieza, L; Garufi, A; Marino, S; Zurlo, A</t>
  </si>
  <si>
    <t>Martinez-Brunner, Rafael; Casassus, Simon; Perez, Sebastian; Hales, Antonio; Weber, Philipp; Carcamo, Miguel; Arce-Tord, Carla; Cieza, Lucas; Garufi, Antonio; Marino, Sebastian; Zurlo, Alice</t>
  </si>
  <si>
    <t>High-resolution ALMA observations of V4046 Sgr: a circumbinary disc with a thin ring</t>
  </si>
  <si>
    <t>The nearby V4046 Sgr spectroscopic binary hosts a gas-rich disc known for its wide cavity and dusty ring. We present high resolution (similar to 20 mas or 1.4 au) ALMA observations of the 1.3 mm continuum of V4046 Sgr which, combined with SPHERE-IRDIS polarised images and a well-sampled spectral energy distribution (SED), allow us to propose a physical model using radiative transfer predictions. The ALMA data reveal a thin ring at a radius of 13.15 +/- 0.42 au (Ring13), with a radial width of 2.46 +/- 0.56 au. Ring13 is surrounded by a similar to 10 au-wide gap, and it is flanked by a mm-bright outer ring (Ring24) with a sharp inner edge at 24 au. Between 25 and similar to 35 au the brightness of Ring24 is relatively flat and then breaks into a steep tail that reaches out to similar to 60 au. In addition, central emission is detected close to the star which we interpret as a tight circumbinary ring made of dust grains with a lower size limit of 0.8 mm at 1.1 au. In order to reproduce the SED, the model also requires an inner ring at similar to 5 au (Ring5) composed mainly of small dust grains, hiding under the IRDIS coronagraph, and surrounding the inner circumbinary disc. The surprisingly thin Ring13 is nonetheless roughly 10 times wider than its expected vertical extent. The strong near-far disc asymmetry at 1.65 mu m points at a very forward-scattering phase function, and requires grain radii of no less than 0.4 mu m</t>
  </si>
  <si>
    <t>Marino, Sebastian/AFP-2400-2022; Casassus, Simon/I-8609-2016; Pérez, Sebastián/AAS-5857-2020; Weber, Philipp/HLX-1365-2023; Carcamo, Miguel/LEM-3690-2024; Zurlo, Alice/Q-5011-2019</t>
  </si>
  <si>
    <t>Marino, Sebastian/0000-0002-5352-2924; Cieza, Lucas/0000-0002-2828-1153; Perez, Sebastian/0000-0003-2953-755X; Casassus, Simon/0000-0002-0433-9840; Weber, Philipp/0000-0002-3354-6654; Martinez Brunner, Rafael/0000-0001-9163-8314; Arce-Tord, Carla/0000-0002-0176-4331</t>
  </si>
  <si>
    <t>10.1093/mnras/stab3440</t>
  </si>
  <si>
    <t>WOS:000764275700006</t>
  </si>
  <si>
    <t>Adura, C; Guerrero, S; Salas, E; Medel, L; Riveros, A; Mena, J; Arbiol, J; Albericio, F; Giralt, E; Kogan, MJ</t>
  </si>
  <si>
    <t>Adura, Carolina; Guerrero, Simon; Salas, Edison; Medel, Luis; Riveros, Ana; Mena, Juan; Arbiol, Jordi; Albericio, Fernando; Giralt, Ernest; Kogan, Marcelo J.</t>
  </si>
  <si>
    <t>Stable Conjugates of Peptides with Gold Nanorods for Biomedical Applications with Reduced Effects on Cell Viability</t>
  </si>
  <si>
    <t>Gold nanorods used in therapy and diagnosis must be nontoxic and stable in biological media and should be specific for the target. The complete combination of these three factors has hindered the use of gold nanorods as carriers in biological and biomedical applications. In this study, we produced a conjugate of gold nanorods with the peptide CLPFFD that recognizes toxic beta-amyloid aggregates present in Alzheimer's disease, demonstrates colloidal stability, maintains plasmonic properties, and shows no effects on cell viability in the SH-SY5Y cell line. Furthermore, the irradiation of beta-amyloid in the presence of the conjugate with near-infrared region irradiation energy reduces the amyloidogenic process reducing also its cytotoxicity. The nanorods were synthesized following the seed-mediated method in cetyltrimethylammonium bromide (CTAB) and were conjugated with the N-terminal cysteine peptide, CLPFFD. The conjugate was exhaustively characterized using different techniques (Absorption spectroscopy, X-ray photoelectron spectroscopy, electron energy loss spectroscopy, and zeta potential). The effects on cell viability and cell penetration by transmission electron microscopy of the conjugate were evaluated. The chemisorption of the peptide on the surface of gold nanorods increases their stability and reduces their effects on cell viability.</t>
  </si>
  <si>
    <t>kogan, Marcelo/I-2868-2013; Arbiol, Jordi/B-6048-2008; Salas-Huenuleo, Edison/AAF-6987-2019; Guerrero, Simon/GPF-5832-2022; Sanchez Medel, Luis Humberto/KWU-8720-2024; riveros, ana/AAD-2134-2020; Albericio, Fernando/B-4383-2013; giralt, ernest/N-1669-2014</t>
  </si>
  <si>
    <t>Albericio, Fernando/0000-0002-8946-0462; Salas-Huenuleo, Edison/0000-0003-4355-5252; Arbiol, Jordi/0000-0002-0695-1726; Guerrero, Simon/0000-0002-3003-0337; giralt, ernest/0000-0001-8381-1797; Riveros, Ana Luisa/0000-0002-1926-4562; Kogan, Marcelo/0000-0003-0608-5087</t>
  </si>
  <si>
    <t>10.1021/am3028537</t>
  </si>
  <si>
    <t>WOS:000319551200014</t>
  </si>
  <si>
    <t>Rizzo, G; Abuhamad, AZ; Benacerraf, BR; Chaoui, R; Corral, E; D' Addario, V; Espinoza, J; Lee, W; Alberto, LTM; Pooh, R; Sepulveda, W; Sinkovskaya, E; Vinals, F; Volpe, P; Pietrolucci, ME; Arduini, D</t>
  </si>
  <si>
    <t>Rizzo, Giuseppe; Abuhamad, Alfred Z.; Benacerraf, Beryl R.; Chaoui, Rabih; Corral, Edgardo; D' Addario, Vincenzo; Espinoza, Jimmy; Lee, Wesley; Merce Alberto, Luis T.; Pooh, Ritsuko; Sepulveda, Waldo; Sinkovskaya, Elena; Vinals, Fernando; Volpe, Paolo; Pietrolucci, Maria Elena; Arduini, Domenico</t>
  </si>
  <si>
    <t>Collaborative Study on 3-Dimensional Sonography for the Prenatal Diagnosis of Central Nervous System Defects</t>
  </si>
  <si>
    <t>JOURNAL OF ULTRASOUND IN MEDICINE</t>
  </si>
  <si>
    <t>Objectives-Prenatal diagnosis of central nervous system (CNS) anomalies by 2-dimensional sonography is challenging because of difficulties in obtaining complete visualization of the fetal brain during routine examinations, which is necessary for identification of its axial, coronal, and sagittal planes. Three-dimensional (3D) sonography has been introduced as a tool for studying the fetal CNS because of its ability to facilitate examinations of the fetal brain. The objective of this study was to determine inter-center agreement in diagnosing CNS defects by review of 3D volume data sets. Methods-This study included 11 centers with expertise in 3D fetal neurosonography. A total of 217 fetuses with and without confirmed CNS defects were scanned after 18 weeks' gestation, and their volume data sets were uploaded onto a centralized file transfer protocol server and later analyzed by all of the centers. Intercenter agreement was determined using a kappa statistic for multiple raters. Results-All volumes were made anonymous and sent to the centers for blinded analysis with the exception of the data sets they had themselves previously uploaded. For identification of fetuses with CNS defects, the sensitivity, specificity, positive and negative predictive values, and false-positive and -negative rates were 93.3%, 96.5%, 96.5%, 93.3%, 3.5%, and 6.7%, respectively. No differences were found in the efficacy of the diagnostic indices according to either the route of acquisition (transabdominal or transvaginal) or the gestational age at diagnosis (18-24 or &gt;24 weeks). Intercenter agreement was excellent (kappa = 0.92; 95% confidence interval, 0.88-0.97). Conclusions-Among centers with technical expertise, remote review of 3D sonographic volumes of the fetal CNS resulted in an accurate and reliable method for diagnosis of fetal brain malformations.</t>
  </si>
  <si>
    <t>Volpe, Paolo/H-8356-2019; VINALS, FERNANDO/ISV-0959-2023; RIZZO, Giuseppe/G-8234-2018</t>
  </si>
  <si>
    <t>RIZZO, Giuseppe/0000-0002-5525-4353; Espinoza, Jimmy/0000-0002-9830-2212</t>
  </si>
  <si>
    <t>0278-4297</t>
  </si>
  <si>
    <t>1550-9613</t>
  </si>
  <si>
    <t>10.7863/jum.2011.30.7.1003</t>
  </si>
  <si>
    <t>WOS:000292435300017</t>
  </si>
  <si>
    <t>Pérez, S; Hales, A; Liu, HB; Zhu, ZH; Casassus, S; Williams, J; Zurlo, A; Cuello, N; Cieza, L; Principe, D</t>
  </si>
  <si>
    <t>Perez, Sebastian; Hales, Antonio; Liu, Hauyu Baobab; Zhu, Zhaohuan; Casassus, Simon; Williams, Jonathan; Zurlo, Alice; Cuello, Nicolas; Cieza, Lucas; Principe, David</t>
  </si>
  <si>
    <t>Resolving the FU Orionis System with ALMA: Interacting Twin Disks?</t>
  </si>
  <si>
    <t>FU Orionis objects are low-mass pre-main sequence stars characterized by dramatic outbursts several magnitudes in brightness. These outbursts are linked to episodic accretion events in which stars gain a significant portion of their mass. The physical processes behind these accretion events are not yet well understood. The archetypal FU Ori system, FU Orionis, is composed of two young stars with detected gas and dust emission. The continuum emitting regions have not been resolved until now. Here, we present 1.3 mm observations of the FU Ori binary system using the Atacama Large Millimeter/submillimeter Array. The disks are resolved at 40 mas resolution. Radiative transfer modeling shows that the emission from FU Ori north (primary) is consistent with a dust disk with a characteristic radius of similar to 11 au. The ratio between the major and minor axes shows that the inclination of the disk is similar to 37 degrees. FU Ori south is consistent with a dust disk of similar inclination and size. Assuming the binary orbit shares the same inclination angle as the disks, the deprojected distance between the north and south components is 06, i.e., similar to 250 au. Maps of (CO)-C-12 emission show a complex kinematic environment with signature disk rotation at the location of the northern component, and also (to a lesser extent) for FU Ori south. The revised disk geometry allows us to update FU Ori accretion models, yielding a stellar mass and mass accretion rate of FU Ori north of 0.6 M and 3.8 x 10(-5) M yr(-1), respectively.</t>
  </si>
  <si>
    <t>Liu, Hauyu Baobab/ABA-1430-2020; Zurlo, Alice/Q-5011-2019; Williams, Jonathan/HJA-2081-2022; Casassus, Simon/I-8609-2016; Pérez, Sebastián/AAS-5857-2020</t>
  </si>
  <si>
    <t>Principe, David/0000-0002-7939-377X; Perez, Sebastian/0000-0003-2953-755X; Casassus, Simon/0000-0002-0433-9840; zhu, zhaohuan/0000-0003-3616-6822; Cieza, Lucas/0000-0002-2828-1153; Hales, Antonio/0000-0001-5073-2849; Zurlo, Alice/0000-0002-5903-8316; Liu, Hauyu Baobab/0000-0003-2300-2626; Williams, Jonathan/0000-0001-5058-695X</t>
  </si>
  <si>
    <t>JAN 20</t>
  </si>
  <si>
    <t>10.3847/1538-4357/ab5c1b</t>
  </si>
  <si>
    <t>WOS:000520174700001</t>
  </si>
  <si>
    <t>Pinte, C; van der Plas, G; Ménard, F; Price, DJ; Christiaens, V; Hill, T; Mentiplay, D; Ginski, C; Choquet, E; Boehler, Y; Duchêne, G; Perez, S; Casassus, S</t>
  </si>
  <si>
    <t>Pinte, C.; van der Plas, G.; Menard, F.; Price, D. J.; Christiaens, V; Hill, T.; Mentiplay, D.; Ginski, C.; Choquet, E.; Boehler, Y.; Duchene, G.; Perez, S.; Casassus, S.</t>
  </si>
  <si>
    <t>Kinematic detection of a planet carving a gap in a protoplanetary disk</t>
  </si>
  <si>
    <t>NATURE ASTRONOMY</t>
  </si>
  <si>
    <t>We still do not understand how planets form or why extra-solar planetary systems are so different from our own Solar System. However, the past few years have dramatically changed our view of the disks of gas and dust around young stars. Observations with the Atacama Large Millimeter/sub-millimeter Array and extreme adaptive-optics systems have revealed that most-if not all-disks contain substructure, including rings and gaps(1-3), spirals(4-6), azimuthal dust concentrations(7) and shadows cast by misaligned inner disks(5,8). These features have been interpreted as signatures of newborn pro-toplanets, but the exact origin is unknown. Here we report the kinematic detection of a few-Jupiter-mass planet located in a gas and dust gap at 130 au in the disk surrounding the young star HD 97048. An embedded planet can explain both the disturbed Keplerian flow of the gas, detected in CO lines, and the gap detected in the dust disk at the same radius. While gaps appear to be a common feature in protoplanetary disks(2,3), we present a direct correspondence between a planet and a dust gap, indicating that at least some gaps are the result of planet-disk interactions.</t>
  </si>
  <si>
    <t>Casassus, Simon/I-8609-2016; Pinte, Christophe/MVW-1517-2025; Pérez, Sebastián/AAS-5857-2020; Choquet, Elodie/AAK-6363-2021; Price, Daniel/A-8142-2016</t>
  </si>
  <si>
    <t>Mentiplay, Daniel/0000-0002-5526-8798; Choquet, Elodie/0000-0002-9173-0740; Ginski, Christian/0000-0002-4438-1971; Price, Daniel/0000-0002-4716-4235; Christiaens, Valentin/0000-0002-0101-8814; van der Plas, Gerrit/0000-0001-5688-187X; Perez, Sebastian/0000-0003-2953-755X</t>
  </si>
  <si>
    <t>2397-3366</t>
  </si>
  <si>
    <t>10.1038/s41550-019-0852-6</t>
  </si>
  <si>
    <t>WOS:000501586100021</t>
  </si>
  <si>
    <t>Bernal, N; Elahi, F; Maldonado, C; Unwin, J</t>
  </si>
  <si>
    <t>Bernal, Nicolas; Elahi, Fatemeh; Maldonado, Carlos; Unwin, James</t>
  </si>
  <si>
    <t>Ultraviolet freeze-in and non-standard cosmologies</t>
  </si>
  <si>
    <t>JOURNAL OF COSMOLOGY AND ASTROPARTICLE PHYSICS</t>
  </si>
  <si>
    <t>A notable feature of UV freeze-in is that the relic density is strongly dependent on the highest temperatures of the thermal bath, and a common assumption is that the relevant highest temperature should be the reheating temperature after inflation T-RH. However, the temperature of the thermal bath can be significantly higher in certain scenarios, reaching a value denoted T-max, a fact which is only apparent away from the instantaneous decay approximation. Interestingly, it has been shown that if the operators are of sufficiently high mass dimension then the dark matter abundance can be enhanced by a boost factor depending on (T-max/T-RH) relative to naive estimates assuming instantaneous reheating. We highlight here that in non-standard cosmological histories the critical mass dimension of the operator above at which the instantaneous decay approximation breaks down, and the exponent of the boost factor, depend on the equation of state ! prior to reheating. We highlight four examples in which the dark matter abundance receives a significant enhancement in the context of gravitino dark matter, the moduli portal, the Higgs portal, and the spin-2 portal (as might arise in bimetric gravity models). We comment on the transition from kination domination to radiation domination as a motivated example of non-standard cosmologies.</t>
  </si>
  <si>
    <t>; Bernal, Nicolas/L-5091-2014</t>
  </si>
  <si>
    <t>Maldonado, Carlos/0000-0001-7929-1733; Bernal, Nicolas/0000-0003-1069-490X</t>
  </si>
  <si>
    <t>1475-7516</t>
  </si>
  <si>
    <t>10.1088/1475-7516/2019/11/026</t>
  </si>
  <si>
    <t>WOS:000507259700023</t>
  </si>
  <si>
    <t>Davidson, WS; Koop, BF; Jones, SJM; Iturra, P; Vidal, R; Maass, A; Jonassen, I; Lien, S; Omholt, SW</t>
  </si>
  <si>
    <t>Davidson, William S.; Koop, Ben F.; Jones, Steven J. M.; Iturra, Patricia; Vidal, Rodrigo; Maass, Alejandro; Jonassen, Inge; Lien, Sigbjorn; Omholt, Stig W.</t>
  </si>
  <si>
    <t>Sequencing the genome of the Atlantic salmon (Salmo salar)</t>
  </si>
  <si>
    <t>GENOME BIOLOGY</t>
  </si>
  <si>
    <t>The International Collaboration to Sequence the Atlantic Salmon Genome (ICSASG) will produce a genome sequence that identifies and physically maps all genes in the Atlantic salmon genome and acts as a reference sequence for other salmonids.</t>
  </si>
  <si>
    <t>Davidson, Willie/M-1992-2019; Jones, Steven/C-3621-2009; Jonassen, Inge/AAC-7035-2020; Koop, Ben/A-8151-2008; Maass, Alejandro/D-5848-2012</t>
  </si>
  <si>
    <t>Jones, Steven/0000-0003-3394-2208; Jonassen, Inge/0000-0003-4110-0748; Koop, Ben/0000-0003-0045-5200; Maass, Alejandro/0000-0002-7038-4527</t>
  </si>
  <si>
    <t>1474-760X</t>
  </si>
  <si>
    <t>10.1186/gb-2010-11-9-403</t>
  </si>
  <si>
    <t>WOS:000283777800015</t>
  </si>
  <si>
    <t>Peña, S; Carranza, M; Cuadrado, C; Parra, DC; Dintrans, PV; Castillo, C; Cortinez-O'Ryan, A; Espinoza, P; Müller, V; Rivera, C; Genovesi, R; Riesco, J; Kontto, J; Cerda, R; Zitko, P</t>
  </si>
  <si>
    <t>Pena, Sebastian; Carranza, Macarena; Cuadrado, Cristobal; Parra, Diana C.; Villalobos Dintrans, Pablo; Castillo, Cecilia; Cortinez-O'Ryan, Andrea; Espinoza, Paula; Muller, Valeska; Rivera, Cristian; Genovesi, Romina; Riesco, Juan; Kontto, Jukka; Cerda, Ricardo; Zitko, Pedro</t>
  </si>
  <si>
    <t>Effectiveness of a Gamification Strategy to Prevent Childhood Obesity in Schools: A Cluster Controlled Trial</t>
  </si>
  <si>
    <t>OBESITY</t>
  </si>
  <si>
    <t>Objective The aim of this study was to examine the effectiveness of a school-based gamification strategy to prevent childhood obesity. Methods Schools were randomized in Santiago, Chile, between March and May 2018 to control or to receive a nutrition and physical activity intervention using a gamification strategy (i.e., the use of points, levels, and rewards) to achieve healthy challenges. The intervention was delivered for 7 months and participants were assessed at 4 and 7 months. Primary outcomes were mean difference in BMI z score and waist circumference (WC) between trial arms at 7 months. Secondary outcomes were mean difference in BMI and systolic and diastolic blood pressure between trial arms at 7 months. Results A total of 24 schools (5 controls) and 2,197 students (653 controls) were analyzed. Mean BMI z score was lower in the intervention arm compared with control (adjusted mean difference -0.133, 95% CI: -0.25 to -0.01), whereas no evidence of reduction in WC was found. Mean BMI and systolic blood pressure were lower in the intervention arm compared with control. No evidence of reduction in diastolic blood pressure was found. Conclusions The multicomponent intervention was effective in preventing obesity but not in reducing WC. Gamification is a potentially powerful tool to increase the effectiveness of school-based interventions to prevent obesity.</t>
  </si>
  <si>
    <t>Cerda, Ricardo/T-9315-2019; C, Andrea/ISB-2574-2023; Dintrans, Pablo/AAM-6248-2020; Cuadrado, Cristobal/Q-3705-2019; Parra, Diana/D-7633-2013; Cuadrado, Cristobal/J-2572-2014; Cerda, Ricardo/K-2998-2017</t>
  </si>
  <si>
    <t>Kontto, Jukka/0000-0003-3899-9852; Cortinez-O'Ryan, Andrea/0000-0001-6207-3377; Parra, Diana/0000-0002-9797-6231; Pena, Sebastian/0000-0002-2555-4179; Cuadrado, Cristobal/0000-0002-0174-5958; Cerda, Ricardo/0000-0002-7329-5300; Villalobos Dintrans, Pablo/0000-0002-2236-6447</t>
  </si>
  <si>
    <t>1930-7381</t>
  </si>
  <si>
    <t>1930-739X</t>
  </si>
  <si>
    <t>10.1002/oby.23165</t>
  </si>
  <si>
    <t>WOS:000696505600001</t>
  </si>
  <si>
    <t>Wickens, K; de Bruyne, J; Calvo, M; Choon-Kook, S; Jayaraj, G; Lai, CKW; Lane, J; Maheshwari, R; Mallol, J; Nishima, S; Purdie, G; Siebers, R; Sukumaran, T; Trakultivakorn, M; Crane, J</t>
  </si>
  <si>
    <t>The determinants of dust mite allergen and its relationship to the prevalence of symptoms of asthma in the Asia-Pacific region</t>
  </si>
  <si>
    <t>PEDIATRIC ALLERGY AND IMMUNOLOGY</t>
  </si>
  <si>
    <t>The role that house dust mites play in the primary causation of asthma is controversial. Approximately thirty-six 10-yr-old children in each of 10 centres in the Asia-Pacific region participated. Researchers collected dust from mattresses and living room floors using standardized procedures. Der pl and Der fl were analysed using a double monoclonal antibody enzyme-linked immunosorbent assay. Geometric mean allergen levels were calculated for each centre. 3 An ecological analysis was conducted to show the regression of the geometric mean allergen level, using the highest household level, against asthma symptom and severity prevalence data from the International Study of Asthma and Allergies in Childhood, Phase I. Among children aged 13-14 yr, the change in asthma symptom prevalence was associated with per unit change in Der p 1 mug/g (1.08, 95% CI 0.10-2.06) and Der 1 mug/g (Der pI + Der fl) (0.64, 95% Cl 0.02-1.26). The change in having four or more attacks of asthma in the last 12 months was associated with per unit change in Der p 1 mug/g (0.29, 95% CI -0.02 to 0.60) and Der 1 mug/g (0.20, 95% Cl 0.01-0.38). There was no effect for total Der pI or Der fl (total or mug/g). Among children aged 6-7 yr, neither allergen was related to symptoms or severity prevalence. While our findings suggest that Dermatophagoides pteronyssinus may have a role in the primary causation of asthma, the complexity of this association reinforces the need for prospective studies.</t>
  </si>
  <si>
    <t>de Bruyne, Jessie/B-8710-2010; Siebers, Robert/A-4102-2009; Mohammad, Yousser/LTD-1984-2024</t>
  </si>
  <si>
    <t>Siebers, Robert/0000-0002-6359-3144; Mallol, Javier/0000-0003-2528-8672</t>
  </si>
  <si>
    <t>0905-6157</t>
  </si>
  <si>
    <t>1399-3038</t>
  </si>
  <si>
    <t>10.1046/j.0905-6157.2003.00100.x</t>
  </si>
  <si>
    <t>WOS:000220251500008</t>
  </si>
  <si>
    <t>Gouveia, R; Lopes, H; Nascimento, MD; Clemente, FM; Sarmento, H; Ihle, A; Ferrari, G; Luz, P; Caldeira, H; Marques, A</t>
  </si>
  <si>
    <t>Gouveia, Elvio Rubio; Lopes, Helder; Nascimento, Marcelo de Maio; Clemente, Filipe Manuel; Sarmento, Hugo; Ihle, Andreas; Ferrari, Gerson; Luz, Pedro; Caldeira, Henrique; Marques, Adilson</t>
  </si>
  <si>
    <t>Physical Fitness and Body Composition of Youth Referees in Invasion Games</t>
  </si>
  <si>
    <t>Background: Referees' activity can be an instrument for training students with an impact on health-related physical fitness (PF). This study aimed to investigate the differences in PF and body composition between students without sports practice (G1), students with regular sports practice (G2), and student referees in team invasion games (G3). Methods: This study followed a cross-sectional design. The sample comprised 45 male students between 14 and 20 years old (16.40 +/- 1.85). Three groups (G1, G2, and G3) of 15 participants each were selected. PF was assessed by a 20 m shuttle run, change-of-direction test, and standing long jump. Body composition was determined by body mass index (BMI; kg/m(2)) and the percentage of body fat (%BF) predicted by skinfold. Results: After controlling for age as a covariate, the block of variables used to characterize PF was statistically different between sports practice groups favoring student referees (p &lt; 0.001; r = 0.26). Similar results were achieved for body composition (i.e., BMI and %BF) (p &lt; 0.001; r = 0.17). However, when the dependent variables were evaluated separately, there were only differences between groups in %BF (p = 0.007; r = 0.21). Student referees had statistically significantly lower values than the remaining groups. Conclusion: Refereeing activity benefits PF related to health and performance, including body composition. This study confirms the benefits related to health in children and adolescents who are involved in refereeing activity.</t>
  </si>
  <si>
    <t>de Gouveia, Ricardo/B-4965-2019; Lopes, Helder Manuel/GSE-3116-2022; Ferrari, Gerson/HHM-6173-2022; Clemente, Filipe Manuel/G-2625-2012; Sarmento, Hugo/K-8684-2012; Marques, Adilson/K-4529-2014; Gouveia, Elvio Rubio/F-9156-2015; Ferrari, Gerson/P-1152-2014</t>
  </si>
  <si>
    <t>Clemente, Filipe Manuel/0000-0001-9813-2842; Sarmento, Hugo/0000-0001-8681-0642; Marques, Adilson/0000-0001-9850-7771; Gouveia, Elvio Rubio/0000-0003-0927-692X; Ferrari, Gerson/0000-0003-3177-6576; de Maio Nascimento, Marcelo/0000-0002-3577-3439; Ihle, Andreas/0000-0001-9845-5190</t>
  </si>
  <si>
    <t>10.3390/children10040650</t>
  </si>
  <si>
    <t>WOS:000984059800001</t>
  </si>
  <si>
    <t>Diaz, C; Rezende, LFM; Sabag, A; Lee, DH; Ferrari, G; Giovannucci, EL; Rey-Lopez, JP</t>
  </si>
  <si>
    <t>Diaz, Cristina; Rezende, Leandro F. M.; Sabag, Angelo; Lee, Dong Hoon; Ferrari, Gerson; Giovannucci, Edward L.; Rey-Lopez, Juan Pablo</t>
  </si>
  <si>
    <t>Artificially Sweetened Beverages and Health Outcomes: An Umbrella Review</t>
  </si>
  <si>
    <t>ADVANCES IN NUTRITION</t>
  </si>
  <si>
    <t>The consumption of artificially sweetened beverages (ASBs) is increasing in some countries. However, some meta-analyses have found that habitual consumers of ASBs (compared with low or no consumption) had an increased risk on some health outcomes. We performed an umbrella review of meta-analyses to grade the credibility of the evidence of claimed observational associations between ASBs and health outcomes. Data were searched in Web of Science, Embase, and PubMed for systematic reviews published up to 25 May 2022, examining association between ASBs and any health outcomes. Certainty of the evidence for each health outcome was obtained based on statistical results of tests used in umbrella reviews. The AMSTAR-2 tool (16 items) was used to identify high-quality systematic reviews. Answers of each item were rated as yes, no, or partial yes (for a partial adherence to the standard). We included data from 11 meta-analyses with unique population, exposure, comparison group, outcome obtained from 7 systematic reviews (51 cohort studies and 4 case-control studies). ASBs were associated with higher risk of obesity, type 2 diabetes, all-cause mortality, hypertension, and cardiovascular disease incidence (supported by highly suggestive evidence). Evidence for other outcomes (colorectal cancer, pancreatic cancer, gastrointestinal cancer, cancer mortality, cardiovascular mortality, chronic kidney disease, coronary artery disease, and stroke) was weak. Results of the quality assessment of systematic reviews using AMSTAR-2 showed some notable deficiencies: unclear sources of funding of eligible studies and lack of predefined study protocols to guide authors. The consumption of ASBs was associated with a higher risk of obesity, type 2 diabetes, all-cause mortality, hypertension, and cardiovascular disease incidence. However, further cohort studies and clinical trials in humans are still needed to understand the impact of ASBs on health outcomes.</t>
  </si>
  <si>
    <t>Rezende, Leandro/C-1724-2012; Giovannucci, Edward/ADE-8028-2022; Sabag, Angelo/AAI-7904-2020; Ferrari, Gerson/HHM-6173-2022; Ferrari, Gerson/P-1152-2014</t>
  </si>
  <si>
    <t>Sabag, Angelo/0000-0002-0195-7029; Ferrari, Gerson/0000-0003-3177-6576; Rey Lopez, Juan Pablo/0000-0002-7201-2006</t>
  </si>
  <si>
    <t>2161-8313</t>
  </si>
  <si>
    <t>2156-5376</t>
  </si>
  <si>
    <t>10.1016/j.advnut.2023.05.010</t>
  </si>
  <si>
    <t>WOS:001029923900001</t>
  </si>
  <si>
    <t>Riveros, C; Mellor, D; Gandhi, KS; McKay, FC; Cox, MB; Berretta, R; Vaezpour, SY; Inostroza-Ponta, M; Broadley, SA; Heard, RN; Vucic, S; Stewart, GJ; Williams, DW; Scott, RJ; Lechner-Scott, J; Booth, DR; Moscato, P</t>
  </si>
  <si>
    <t>Riveros, Carlos; Mellor, Drew; Gandhi, Kaushal S.; McKay, Fiona C.; Cox, Mathew B.; Berretta, Regina; Vaezpour, S. Yahya; Inostroza-Ponta, Mario; Broadley, Simon A.; Heard, Robert N.; Vucic, Stephen; Stewart, Graeme J.; Williams, David W.; Scott, Rodney J.; Lechner-Scott, Jeanette; Booth, David R.; Moscato, Pablo</t>
  </si>
  <si>
    <t>ANZgene Multiple Sclerosis Genetic</t>
  </si>
  <si>
    <t>A Transcription Factor Map as Revealed by a Genome-Wide Gene Expression Analysis of Whole-Blood mRNA Transcriptome in Multiple Sclerosis</t>
  </si>
  <si>
    <t>Background: Several lines of evidence suggest that transcription factors are involved in the pathogenesis of Multiple Sclerosis (MS) but complete mapping of the whole network has been elusive. One of the reasons is that there are several clinical subtypes of MS and transcription factors that may be involved in one subtype may not be in others. We investigate the possibility that this network could be mapped using microarray technologies and contemporary bioinformatics methods on a dataset derived from whole blood in 99 untreated MS patients (36 Relapse Remitting MS, 43 Primary Progressive MS, and 20 Secondary Progressive MS) and 45 age-matched healthy controls. Methodology/Principal Findings: We have used two different analytical methodologies: a non-standard differential expression analysis and a differential co-expression analysis, which have converged on a significant number of regulatory motifs that are statistically overrepresented in genes that are either differentially expressed (or differentially co-expressed) in cases and controls (e. g., V$KROX_Q6, p-value, &lt;3.31E-6; V$CREBP1_Q2, p-value, &lt; 9.93E-6, V$YY1_02, p-value, &lt;1.65E-5). Conclusions/Significance: Our analysis uncovered a network of transcription factors that potentially dysregulate several genes in MS or one or more of its disease subtypes. The most significant transcription factor motifs were for the Early Growth Response EGR/KROX family, ATF2, YY1 (Yin and Yang 1), E2F-1/DP-1 and E2F-4/DP-2 heterodimers, SOX5, and CREB and ATF families. These transcription factors are involved in early T-lymphocyte specification and commitment as well as in oligodendrocyte dedifferentiation and development, both pathways that have significant biological plausibility in MS causation.</t>
  </si>
  <si>
    <t>MOSCATO, PABLO/G-7668-2013; Inostroza-Ponta, Mario/G-7548-2012; Riveros, Carlos/A-6880-2013; Slee, Mark/J-4731-2015; Kermode, Allan/G-3568-2019; Scott, Rodney/B-2827-2013</t>
  </si>
  <si>
    <t>Moscato, Pablo/0000-0003-2570-5966; Vucic, Steve/0000-0002-8323-873X; Riveros, Carlos/0000-0002-2551-7618; Inostroza-Ponta, Mario/0000-0003-1295-8972; Berretta, Regina/0000-0002-4420-3446; Slee, Mark/0000-0003-4323-2453; McKay, Fiona Catherine/0000-0002-9610-0668; Stankovich, Jim/0000-0001-9344-7749; Kermode, Allan/0000-0002-4476-4016; Lechner-Scott, Jeannette/0000-0002-3850-447X; Field, Judith/0000-0002-7089-0999; Kilpatrick, Trevor/0000-0003-3999-085X; Taylor, Bruce/0000-0003-2807-0070; Scott, Rodney/0000-0001-7724-3404</t>
  </si>
  <si>
    <t>e14176</t>
  </si>
  <si>
    <t>10.1371/journal.pone.0014176</t>
  </si>
  <si>
    <t>WOS:000284821300001</t>
  </si>
  <si>
    <t>Rosa, CA; Santos, ARO; Palmier, K; Duell, M; Carvalho, AOS; Fernadez, N; Pimenta, RS; Morais, PB; Araya, M; Cubillos, FA; Pontes, A; Aires, A; Gonçalves, C; Gonçalves, P; Sampaio, JP; Lachance, MA</t>
  </si>
  <si>
    <t>Rosa, Carlos A.; Santos, Ana Raquel O.; Palmier, Kirsten; Duell, Meghan; Carvalho, Andrea O. S.; Fernadez, Natalia, V; Pimenta, Raphael S.; Morais, Paula B.; Araya, Macarena; Cubillos, Francisco A.; Pontes, Ana; Aires, Andreia; Goncalves, Carla; Goncalves, Paula; Sampaio, Jose Paulo; Lachance, Marc - Andre</t>
  </si>
  <si>
    <t>Taxogenomic analyses of Starmerella gilliamiae f.a, sp. nov. and Starmerella monicapupoae f.a., sp. nov., two novel species isolated from plant substrates and insects</t>
  </si>
  <si>
    <t>INTERNATIONAL JOURNAL OF SYSTEMATIC AND EVOLUTIONARY MICROBIOLOGY</t>
  </si>
  <si>
    <t>Four yeast isolates collected from flowers from different ecosystems in Brazil, one from fruit of Nothofagus alpina in Argentina, three from flowers of Neltuma chilensis in Chile and one obtained from the proventriculus of a female bumblebee in Canada were demonstred, by analysis of the sequences of the internal transcribed spacer (ITS) region and D1/D2 domains of the large subunit rRNA gene, to represent two novel species of the genus Starmerella. These species are described here as Starmerella gilliamiae f.a, sp. nov. (CBS 16166T; Mycobank MB 851206) and Starmerella monicapupoae f.a., sp. nov. (PYCC 8997T; Mycobank MB 851207). The results of a phylogenomic analysis using 1037 single - copy orthogroups indicated that S. gilliamiae is a member of a subclade that contains Starmerella opuntiae, Starmerella aceti and Starmerella apicola. The results also indicated that S. monicapupoae is phylogenetically related to Starmerella riodocensis. The two isolates of S. monicapupoae were obtained from flowers in Brazil and were probably vectored by insects that visit these substrates. Starmerella gilliamiae has a wide geographical distribution having been isolated in flowers from Brazil and Chile, fruit from Argentina and a bumblebee from Canada.</t>
  </si>
  <si>
    <t>Palmier, Kirsten/AGW-0837-2022; Aires, Andreia/IZP-6879-2023; Pimenta, Raphael/D-9195-2013; Cubillos, Francisco/MIT-2389-2025; Morais, Paula/E-9794-2013; Cubillos, Francisco/G-5195-2019; Goncalves, Carla/S-3644-2017; Pontes, Ana/T-3883-2017; Goncalves, Paula/B-4016-2010; Sampaio, Jose/C-5532-2011</t>
  </si>
  <si>
    <t>Cubillos, Francisco/0000-0003-3022-469X; Goncalves, Carla/0000-0002-0420-4970; Rosa, Carlos/0000-0002-0056-9075; Fernandez, Natalia/0000-0001-6483-0407; Pontes, Ana/0000-0002-7626-6599; Goncalves, Paula/0000-0003-2103-1060; Aires, Andreia/0000-0002-6431-2797; Sampaio, Jose/0000-0001-8145-5274</t>
  </si>
  <si>
    <t>1466-5026</t>
  </si>
  <si>
    <t>1466-5034</t>
  </si>
  <si>
    <t>10.1099/ijsem.0.006270</t>
  </si>
  <si>
    <t>WOS:001206400700005</t>
  </si>
  <si>
    <t>Rivera, JC; Abrigo, J; Tacchi, F; Simon, F; Brandan, E; Santos, RA; Bader, M; Chiong, M; Cabello-Verrugio, C</t>
  </si>
  <si>
    <t>Rivera, Juan Carlos; Abrigo, Johanna; Tacchi, Franco; Simon, Felipe; Brandan, Enrique; Santos, Robson A.; Bader, Michael; Chiong, Mario; Cabello-Verrugio, Claudio</t>
  </si>
  <si>
    <t>Angiotensin-(1-7) Prevents Lipopolysaccharide-Induced Autophagy via the Mas Receptor in Skeletal Muscle</t>
  </si>
  <si>
    <t>Skeletal muscle atrophy, which occurs in lipopolysaccharide (LPS)-induced sepsis, causes a severe muscle function reduction. The increased autophagy contributes to sepsis-induced skeletal muscle atrophy in a model of LPS injection, increasing LC3II/LC3I ratio, autophagy flux, and autophagosomes. Angiotensin-(1-7) (Ang-(1-7)) has anti-atrophic effects via the Mas receptor in skeletal muscle. However, the impact of Ang-(1-7) on LPS-induced autophagy is unknown. In this study, we determined the effect of Ang-(1-7) on sepsis-induced muscle autophagy. C57BL6 wild-type (WT) mice and mice lacking the Mas receptor (KO Mas) were injected with LPS together with the systemic administration of Ang-(1-7) to determine autophagy in skeletal muscle. We also evaluated autophagy and p38 and c-Jun N-terminal kinase (JNK)activation. Our results show that Ang-(1-7) prevents LPS-induced autophagy in the diaphragm, tibialis anterior, and gastrocnemius of WT mice, which is demonstrated by a decrease in the LC3II/LC3I ratio and mRNA levels of lc3b and ctsl. This effect was lost in KO Mas mice, suggesting the role of the Mas receptor. The results in C2C12 cells show that Ang-(1-7) reduces several LPS-dependent effects, such as autophagy (LC3II/LC3I ratio, autophagic flux, and autophagosomes), activation of p38 and JNK, B-cell lymphoma-2 (BCL2) phosphorylation, and disassembly of the Beclin1/BCL2 complex. In conclusion, Ang-(1-7)/Mas receptor reduces LPS-induced autophagy in skeletal muscle. In vitro assays indicate that Ang-(1-7) prevents LPS-induced autophagy and modifies the MAPK signaling and the disassembly of a complex involved at the beginning of autophagy.</t>
  </si>
  <si>
    <t>Bader, Michael/K-2124-2013; Chiong, M./ABH-5784-2020; Cabello-Verrugio, Claudio/AAD-1454-2020; Santos, Robson/C-9336-2011; Chiong, Mario/I-1043-2013</t>
  </si>
  <si>
    <t>Santos, Robson/0000-0001-8738-5852; Bader, Michael/0000-0003-4780-4164; Abrigo, Johanna/0000-0002-5598-513X; Chiong, Mario/0000-0002-5174-6545; Cabello-Verrugio, Claudio/0000-0001-7273-2102; Simon, Felipe/0000-0002-2653-9798</t>
  </si>
  <si>
    <t>10.3390/ijms21249344</t>
  </si>
  <si>
    <t>WOS:000602776500001</t>
  </si>
  <si>
    <t>Zurlo, A; Weber, P; Pérez, S; Cieza, L; Ginski, C; van Holstein, RG; Principe, D; Garufi, A; Hales, A; Kastner, J; Rigliaco, E; Ruane, G; Benisty, M; Manara, C</t>
  </si>
  <si>
    <t>Zurlo, A.; Weber, P.; Perez, S.; Cieza, L.; Ginski, C.; van Holstein, R. G.; Principe, D.; Garufi, A.; Hales, A.; Kastner, J.; Rigliaco, E.; Ruane, G.; Benisty, M.; Manara, C.</t>
  </si>
  <si>
    <t>The environment around young eruptive stars SPHERE/IRDIS polarimetric imaging of seven protostars</t>
  </si>
  <si>
    <t>Aims. Eruptive stars are a class of young stellar objects that show an abrupt increase in luminosity. These burst-like episodes are thought to dominate the stellar accretion process during the Class 0 to Class I stage. We present an overview of a survey of seven episodically accreting protostars carried out to study their potentially complex circumstellar surroundings. Methods. The observations were performed with the instrument SPHERE, mounted at the Very Large Telescope. SPHERE is equipped with an extreme adaptive optics system that allows high-contrast imaging. We observed the eruptive stars in the H band with the near-infrared imager IRDIS and used the polarimeter to extract the polarized light scattered from the stars' surroundings. Results. We produced polarized light images for three FUor objects, Z CMa, V960 Mon, and FU Ori, and four EXor objects, XZ Tau, UZ Tau, NY Ori, and EX Lup. We calculated the intrinsic polarization fraction for all the observed stars. In all systems we registered scattered light from around the primary star. FU Ori and V960 Mon are surrounded by complex structures, including spiral-like features. In Z CMa, we detected a point source 0 ''.7 to the northeast of the primary. Based on the astrometric measurements from archival Keck/NIRC2 data, we find this source to be a third member of the system. Furthermore, Z CMa displays an outflow that extends for thousands of au. Unlike the other EXor objects in our sample, XZ Tau shows bright, extended scattered light structures that are also associated with an outflow on a scale of hundreds of au. The other EXors show relatively faint disk-like structures in the immediate vicinity of the coronagraph. Conclusions. Each object shows a unique environment, but we classified the seven objects into three categories: systems with illuminated outflows, asymmetric arms, and faint disks. Asymmetric arms were only found around FUor objects, while faint disks seem to predominantly occur around EXors. Importantly, for Z CMa the detection of the faint extended structure calls into question previous interpretations of the system's dynamic state. The streamer that was associated with a fly-by object turned out to be part of a huge outflow extending 6000 au.</t>
  </si>
  <si>
    <t>Zurlo, Alice/Q-5011-2019; Pérez, Sebastián/AAS-5857-2020; Ruane, Garreth/A-5997-2013</t>
  </si>
  <si>
    <t>Ginski, Christian/0000-0002-4438-1971; Perez, Sebastian/0000-0003-2953-755X; Zurlo, Alice/0000-0002-5903-8316</t>
  </si>
  <si>
    <t>JUN 21</t>
  </si>
  <si>
    <t>A309</t>
  </si>
  <si>
    <t>10.1051/0004-6361/202348526</t>
  </si>
  <si>
    <t>WOS:001252291000007</t>
  </si>
  <si>
    <t>Sundler, AJ; Bergnehr, D; Haffejee, S; Iqbal, H; Orellana, MF; Del Solar, AV; Angeles, SL; Faircloth, C; Liu, L; Mwanda, A; Galeas, MS; Simelane, T; Twamley, K; Darcy, L</t>
  </si>
  <si>
    <t>Sundler, Annelie J.; Bergnehr, Disa; Haffejee, Sadiyya; Iqbal, Humera; Orellana, Marjorie Faulstich; Vergara Del Solar, Ana; Angeles, Sophia L.; Faircloth, Charlotte; Liu, Lu; Mwanda, Anita; Sepulveda Galeas, Mauricio; Simelane, Thandi; Twamley, Katherine; Darcy, Laura</t>
  </si>
  <si>
    <t>Adolescents' and young people's experiences of social relationships and health concerns during COVID-19</t>
  </si>
  <si>
    <t>INTERNATIONAL JOURNAL OF QUALITATIVE STUDIES ON HEALTH AND WELL-BEING</t>
  </si>
  <si>
    <t>Purpose: To illuminate the meaning of social relationships and health concerns as experienced by adolescents and young people during the COVID-19 pandemic. Methods: A longitudinal qualitative study was conducted. Data reported from 172 adolescents and young people aged 12-24 years in five countries; Chile, South Africa, Sweden, the United Kingdom and the United States collected from May 2020 to June 2021 were analysed via thematic analysis. Results: Adolescents and young peoples' experiences of social relationships and health concerns were described in seven themes: Family proximity, conflicts and frustration; difficulties and challenges related to limited living space; peer relations and maintaining friendship in times of social distancing; the importance of school as a place for interaction; vulnerability, emotional distress and uncertainty about the future; health concerns and sense of caring for others; and worries and concerns related to financial hardship. These reports show that the changes to everyday life that were introduced by public responses to the pandemic generated feelings of loneliness, vulnerability, and emotional distress, as well as increased sense of togetherness with family. Conclusions: The everyday lives of adolescents and young people were restricted and affected more by the consequences of the pandemic than by the COVID-19 virus. These experiences had various impacts on well-being and mental health, where some individuals felt more exposed and vulnerable to emotional distress and loneliness than others. Family and peer relationships could be protective and support a sense of togetherness and belonging. Hence, social relationships are important to provide emotional support. Support for adolescents and young people should be tailored accordingly around social and emotional concerns, to encourage health and well-being.</t>
  </si>
  <si>
    <t>Liu, Lu/AAR-3139-2020; Sundler, Annelie/ABD-7946-2020; Darcy, Laura/ABF-1038-2020; VERGARA, Ana/ABV-0851-2022; Orellana, Marjorie/AFM-2840-2022; Sundler, Annelie J/K-6213-2013</t>
  </si>
  <si>
    <t>Bergnehr, Disa/0000-0002-6357-6491; Simelane, Thandi Mirriam/0000-0001-9906-1820; Twamley, Katherine/0000-0001-8701-7427; Liu, Lu/0000-0003-2101-4586; Sundler, Annelie J/0000-0002-9194-3244; Angeles, Sophia/0000-0003-1407-2753; vergara del solar, ana cecilia/0000-0001-7823-3769; Haffejee, Sadiyya/0000-0002-9513-6861; Orellana, Marjorie Elaine Faulstich/0000-0003-2921-5892; Iqbal, Humera/0000-0002-3437-3759; Mwanda, Anita Qaqamba/0000-0001-8161-0000</t>
  </si>
  <si>
    <t>1748-2623</t>
  </si>
  <si>
    <t>1748-2631</t>
  </si>
  <si>
    <t>10.1080/17482631.2023.2251236</t>
  </si>
  <si>
    <t>WOS:001056903500001</t>
  </si>
  <si>
    <t>Pérez, S; Marino, S; Casassus, S; Baruteau, C; Zurlo, A; Flores, C; Chauvin, G</t>
  </si>
  <si>
    <t>Perez, Sebastian; Marino, Sebastian; Casassus, Simon; Baruteau, Clement; Zurlo, Alice; Flores, Christian; Chauvin, Gael</t>
  </si>
  <si>
    <t>Upper limits on protolunar disc masses using ALMA observations of directly imaged exoplanets</t>
  </si>
  <si>
    <t>The Solar system gas giants are each surrounded by many moons, with at least 50 prograde satellites thought to have formed from circumplanetarymaterial. Just like the Sun is not the only star surrounded by planets, extrasolar gas giants are likely surrounded by satellite systems. Here, we report on Atacama Large Millimeter/Submillimeter Array (ALMA) observations of four &lt; 40 Myr old stars with directly imaged companions: PZ Tel, AB Pic, 51 Eri, and kappa And. Continuum emission at 1.3 mm is undetected for any of the systems. Since these are directly imaged companions, there is knowledge of their temperatures, masses, and locations. These allow for upper limits on the amount of circumplanetary dust to be derived from detailed radiative transfer models. These protolunar disc models consider two disc sizes: 0.4 and 0.04 times the exoplanet's Hill radius. The former is representative of hydrodynamic simulations of circumplanetary discs, while the latter a case with significant radial drift of solids. The more compact case is also motivated by the semimajor axis of Callisto, enclosing Jupiter's Galilean satellites. All upper limits fall below the expected amount of dust required to explain regular satellite systems (similar to 10(-4) times the mass of their central planet). Upper limits are compared with viscous evolution and debris disc models. Our analysis suggests that the non-detections can be interpreted as evidence of dust growth beyond metre sizes to form moonetesimals in time-scales less than or similar to 10 Myr. This sample increases by 50 per cent the number of ALMA non-detections of young companions available in the literature.</t>
  </si>
  <si>
    <t>Zurlo, Alice/Q-5011-2019; Pérez, Sebastián/AAS-5857-2020; Casassus, Simon/I-8609-2016; Flores, Christian/KYR-7682-2024; Marino, Sebastian/AFP-2400-2022</t>
  </si>
  <si>
    <t>Casassus, Simon/0000-0002-0433-9840; Perez, Sebastian/0000-0003-2953-755X; Zurlo, Alice/0000-0002-5903-8316; Marino, Sebastian/0000-0002-5352-2924; Flores, Christian/0000-0002-8591-472X</t>
  </si>
  <si>
    <t>10.1093/mnras/stz1775</t>
  </si>
  <si>
    <t>WOS:000482319700076</t>
  </si>
  <si>
    <t>Duran-Aniotz, C; Poblete, N; Rivera-Krstulovic, C; Ardiles, AO; Li Díaz-Hung, M; Tamburini, G; Sabusap, CMP; Gerakis, Y; Cabral-Miranda, F; Diaz, J; Fuentealba, M; Arriagada, D; Muñoz, E; Espinoza, S; Martinez, G; Quiroz, G; Sardi, P; Medinas, DB; Contreras, D; Piña, R; Lourenco, MV; Ribeiro, FC; Ferreira, ST; Rozas, C; Morales, B; Plate, L; Gonzalez-Billault, C; Palacios, AG; Hetz, C</t>
  </si>
  <si>
    <t>Duran-Aniotz, Claudia; Poblete, Natalia; Rivera-Krstulovic, Catalina; Ardiles, alvaro O.; Li Diaz-Hung, Mei; Tamburini, Giovanni; Sabusap, Carleen Mae P.; Gerakis, Yannis; Cabral-Miranda, Felipe; Diaz, Javier; Fuentealba, Matias; Arriagada, Diego; Munoz, Ernesto; Espinoza, Sandra; Martinez, Gabriela; Quiroz, Gabriel; Sardi, Pablo; Medinas, Danilo B.; Contreras, Darwin; Pina, Ricardo; V. Lourenco, Mychael; Ribeiro, Felipe C.; Ferreira, Sergio T.; Rozas, Carlos; Morales, Bernardo; Plate, Lars; Gonzalez-Billault, Christian; Palacios, Adrian G.; Hetz, Claudio</t>
  </si>
  <si>
    <t>The unfolded protein response transcription factor XBP1s ameliorates Alzheimer's disease by improving synaptic function and proteostasis</t>
  </si>
  <si>
    <t>MOLECULAR THERAPY</t>
  </si>
  <si>
    <t>Alteration in the buffering capacity of the proteostasis network is an emerging feature of Alzheimer's disease (AD), highlighting the occurrence of endoplasmic reticulum (ER) stress. The unfolded protein response (UPR) is the main adaptive pathway to cope with protein folding stress at the ER. Inositol-requiring enzyme-1 (IRE1) operates as a central ER stress sensor, enabling the establishment of adaptive and repair programs through the control of the expression of the transcription factor X-box binding protein 1 (XBP1). To artificially enforce the adaptive capacity of the UPR in the AD brain, we developed stra-tegies to express the active form of XBP1 in the brain. Overexpression of XBP1 in the nervous system using trans -genic mice reduced the load of amyloid deposits and preserved synaptic and cognitive function. Moreover, local delivery of XBP1 into the hippocampus of an 5xFAD mice using adeno-associated vectors improved different AD features. XBP1 expression corrected a large proportion of the proteomic alterations observed in the AD model, restoring the levels of several synaptic proteins and fac-tors involved in actin cytoskeleton regulation and axonal growth. Our results illustrate the therapeutic potential of targeting UPR-dependent gene expression programs as a strategy to ameliorate AD features and sustain synaptic function.</t>
  </si>
  <si>
    <t>Ribeiro, Felipe/W-9758-2019; Hetz, Claudio/ABD-7514-2021; Martinez, Gabriela/E-2964-2017; Piña, ricardo/AAU-1694-2020; Plate, Lars/I-7452-2019; Medinas, Danilo/ABA-1182-2021; Ardiles, Alvaro/ABB-1565-2020; Gonzalez-Billault, Christian/P-2393-2019; Lourenco, Mychael/G-2614-2014; Gonzalez-Billault, Christian/K-9622-2013; Palacios, Adrian/E-9846-2015</t>
  </si>
  <si>
    <t>Gonzalez-Billault, Christian/0000-0003-0335-1482; Quiroz Nahuelpan, Gabriel Francisco Esteban/0000-0002-1883-886X; Hetz, Claudio/0000-0003-1120-7966; Palacios, Adrian/0000-0003-1532-7527; Duran-Aniotz, Claudia/0000-0003-2503-8366; Ardiles, Alvaro/0000-0001-8295-2133; Rozas, Carlos/0000-0002-6422-9600; Cabral Miranda, Felipe/0000-0003-4390-2760; Campos Ribeiro, Felipe/0000-0003-3028-3307</t>
  </si>
  <si>
    <t>1525-0016</t>
  </si>
  <si>
    <t>1525-0024</t>
  </si>
  <si>
    <t>10.1016/j.ymthe.2023.03.028</t>
  </si>
  <si>
    <t>WOS:001039997000001</t>
  </si>
  <si>
    <t>Martínez-Martín, P; Rodríguez-Blázquez, C; Alvarez, M; Arakaki, T; Arillo, VC; Chaná, P; Fernández, W; Garretto, N; Martínez-Castrillo, JC; Rodríguez-Violante, M; Serrano-Dueñas, M; Ballesteros, D; Rojo-Abuin, JM; Chaudhuri, KR; Merello, M</t>
  </si>
  <si>
    <t>Martinez-Martin, Pablo; Rodriguez-Blazquez, Carmen; Alvarez, Mario; Arakaki, Tomoko; Campos Arillo, Victor; Chana, Pedro; Fernandez, William; Garretto, Nelida; Carlos Martinez-Castrillo, Juan; Rodriguez-Violante, Mayela; Serrano-Duenas, Marcos; Ballesteros, Diego; Manuel Rojo-Abuin, Jose; Chaudhuri, Kallol Ray; Merello, Marcelo</t>
  </si>
  <si>
    <t>Parkinson's disease severity levels and MDS-Unified Parkinson's Disease Rating Scale</t>
  </si>
  <si>
    <t>PARKINSONISM &amp; RELATED DISORDERS</t>
  </si>
  <si>
    <t>Background: Severity of PD is usually assessed by means of the motor and disability-based Hoehn and Yahr staging (HY), or clinician and patient global perceptions. Scores of more detailed assessments, as the MDS-UPDRS, have not been translated to a grading that allows assignment of score sections to severity levels. The objective of the present study is to determine cut-off points for PD severity levels based on the MDS-UPDRS. Methods: International, observational study. Applied assessments were: MY, MDS-UPDRS, Clinical Impression for Severity Index, and Clinical and Patient Global Impression of Severity. The coincidence in severity level (mild, moderate, severe) of at least two clinical classifications plus the patient's gradation was considered the criterion of severity. Cut-off values for each MDS-UPDRS subscale was determined by triangulation of: I) percentile 90 of the subscale total score; 2) receiver operating characteristic (ROC) analysis; and 3) ordinal logistic regression (OLR) model. Results: Sample was composed of 452 consecutive PD patients without dementia, 553% males, age 65.1 +/- 10.7 years and PD duration 8.7 +/- 6.3 years. All MY stages were represented. The criterion, classified 275 patients (60.8% of the sample) as: mild PD, 149 (54.2%); moderate, 82 (29.8%); and severe, 44 (16%). The following MDS-UPDRS cut-off points between mild/moderate and moderate/severe levels were found: Part 1: 10/11 and 21/22; Part 2: 12/13 and 29/30; Part 3: 32/33 and 58/59; and Part 4: 4/5 and 12/13. Conclusion: Cut-off points to classify PD patients as mild, moderate, or severe on the basis of their MDS-UPDRS scores are proposed. (C) 2014 Elsevier Ltd. All rights reserved.</t>
  </si>
  <si>
    <t>Chana, Pedro/ABG-9944-2020; Martinez-Martin, Pablo/N-9909-2019; Rodriguez-Violante, Mayela/G-7056-2015; Martinez Castrillo, Juan Carlos/F-3119-2013; Rodriguez-Blazquez, Carmen/K-6447-2012; Serrano-Duenas, Marcos/E-8845-2015</t>
  </si>
  <si>
    <t>Rodriguez-Violante, Mayela/0000-0002-6041-9941; Martinez Castrillo, Juan Carlos/0000-0001-7744-6850; Ray Chaudhuri, K/0000-0003-2815-0505; Rodriguez-Blazquez, Carmen/0000-0003-3829-0675; Serrano-Duenas, Marcos/0000-0002-4496-6654</t>
  </si>
  <si>
    <t>1353-8020</t>
  </si>
  <si>
    <t>1873-5126</t>
  </si>
  <si>
    <t>10.1016/j.parkreldis.2014.10.026</t>
  </si>
  <si>
    <t>WOS:000348259600009</t>
  </si>
  <si>
    <t>Sanz, C; Cavanna, F; Muller, S; de la Fuente, L; Zamberlan, F; Palmucci, M; Janeckova, L; Kuchar, M; Carrillo, F; García, AM; Pallavicini, C; Tagliazucchi, E</t>
  </si>
  <si>
    <t>Sanz, Camila; Cavanna, Federico; Muller, Stephanie; de la Fuente, Laura; Zamberlan, Federico; Palmucci, Matias; Janeckova, Lucie; Kuchar, Martin; Carrillo, Facundo; Garcia, Adolfo M.; Pallavicini, Carla; Tagliazucchi, Enzo</t>
  </si>
  <si>
    <t>Natural language signatures of psilocybin microdosing</t>
  </si>
  <si>
    <t>PSYCHOPHARMACOLOGY</t>
  </si>
  <si>
    <t>Rationale Serotonergic psychedelics are being studied as novel treatments for mental health disorders and as facilitators of improved well-being, mental function, and creativity. Recent studies have found mixed results concerning the effects of low doses of psychedelics (microdosing) on these domains. However, microdosing is generally investigated using instruments designed to assess larger doses of psychedelics, which might lack sensitivity and specificity for this purpose. Objectives Determine whether unconstrained speech contains signatures capable of identifying the acute effects of psilocybin microdoses. Methods Natural speech under psilocybin microdoses (0.5 g of psilocybin mushrooms) was acquired from thirty-four healthy adult volunteers (11 females: 32.09 +/- 3.53 years; 23 males: 30.87 +/- 4.64 years) following a double-blind and placebo-controlled experimental design with two measurement weeks per participant. On Wednesdays and Fridays of each week, participants consumed either the active dose (psilocybin) or the placebo (edible mushrooms). Features of interest were defined based on variables known to be affected by higher doses: verbosity, semantic variability, and sentiment scores. Machine learning models were used to discriminate between conditions. Classifiers were trained and tested using stratified cross-validation to compute the AUC and p-values. Results Except for semantic variability, these metrics presented significant differences between a typical active microdose and the inactive placebo condition. Machine learning classifiers were capable of distinguishing between conditions with high accuracy (AUC approximate to 0.8). Conclusions These results constitute first evidence that low doses of serotonergic psychedelics can be identified from unconstrained natural speech, with potential for widely applicable, affordable, and ecologically valid monitoring of microdosing schedules.</t>
  </si>
  <si>
    <t>Janečková, Lucie/O-2908-2016; Kuchar, Martin/C-3015-2013; García, Adolfo/E-7150-2017; Tagliazucchi Greiner, Enzo/F-3618-2019</t>
  </si>
  <si>
    <t>Tagliazucchi Greiner, Enzo/0000-0003-0421-9993; Cavanna, Federico/0000-0001-8135-6479; Janeckova, Lucie/0000-0002-6313-444X</t>
  </si>
  <si>
    <t>0033-3158</t>
  </si>
  <si>
    <t>1432-2072</t>
  </si>
  <si>
    <t>10.1007/s00213-022-06170-0</t>
  </si>
  <si>
    <t>WOS:000807942300001</t>
  </si>
  <si>
    <t>Said, Z; Sharma, P; Nhuong, QTB; Lichtfouse, E; Khalid, HM; Luque, R; Nguyen, XP; Hoang, AT; Bora, BJ</t>
  </si>
  <si>
    <t>Said, Zafar; Sharma, Prabhakar; Nhuong, Quach Thi Bich; Lichtfouse, Eric; Khalid, Haris M.; Luque, Rafael; Nguyen, Xuan Phuong; Hoang, Anh Tuan; Bora, Bhaskor J.</t>
  </si>
  <si>
    <t>Intelligent approaches for sustainable management and valorisation of food waste</t>
  </si>
  <si>
    <t>BIORESOURCE TECHNOLOGY</t>
  </si>
  <si>
    <t>Food waste (FW) is a severe environmental and social concern that today's civilization is facing. Therefore, it is necessary to have an efficient and sustainable solution for managing FW bioprocessing. Emerging technologies like the Internet of Things (IoT), Artificial Intelligence (AI), and Machine Learning (ML) are critical to achieving this, in which IoT sensors' data is analyzed using AI and ML techniques, enabling real-time decision-making and process optimization. This work describes recent developments in valorizing FW using novel tactics such as the IoT, AI, and ML. It could be concluded that combining IoT, AI, and ML approaches could enhance bioprocess monitoring and management for generating value-added products and chemicals from FW, contributing to improving environmental sustainability and food security. Generally, a comprehensive strategy of applying intelligent techniques in conjunction with government backing can minimize FW and maximize the role of FW in the circular economy toward a more sustainable future.</t>
  </si>
  <si>
    <t>LICHTFOUSE, ERIC/HZL-9873-2023; Bora, Bhaskor/Q-1021-2019; Luque, Rafael/F-9853-2010; SHARMA, PRABHAKAR/ISU-9669-2023; Hoang, Anh Tuan/C-4780-2019; Nguyen Xuan, Phuong/AAT-9669-2021; Khalid, Haris M./T-5118-2017; Said Khan, Zafar/C-4086-2016</t>
  </si>
  <si>
    <t>SHARMA, PRABHAKAR/0000-0002-7585-6693; Hoang, Anh Tuan/0000-0002-1767-8040; Nguyen Xuan, Phuong/0000-0003-0354-8648; Lichtfouse, Eric/0000-0002-8535-8073; Khalid, Haris M./0000-0002-1136-6433; Said Khan, Zafar/0000-0003-2376-9309</t>
  </si>
  <si>
    <t>0960-8524</t>
  </si>
  <si>
    <t>1873-2976</t>
  </si>
  <si>
    <t>10.1016/j.biortech.2023.128952</t>
  </si>
  <si>
    <t>WOS:001053379700001</t>
  </si>
  <si>
    <t>Marino, S; Zurlo, A; Faramaz, V; Milli, J; Henning, T; Kennedy, GM; Matrà, L; Pérez, S; Delorme, P; Cieza, LA; Hughes, AM</t>
  </si>
  <si>
    <t>Marino, S.; Zurlo, A.; Faramaz, V; Milli, J.; Henning, Th; Kennedy, G. M.; Matra, L.; Perez, S.; Delorme, P.; Cieza, L. A.; Hughes, A. M.</t>
  </si>
  <si>
    <t>Insights into the planetary dynamics of HD 206893 with ALMA</t>
  </si>
  <si>
    <t>Radial substructure in the form of rings and gaps has been shown to be ubiquitous among protoplanetary discs. This could be the case in exo-Kuiper belts as well, and evidence for this is emerging. In this paper, we present ALMA observations of the debris/planetesimal disc surrounding HD 206893, a system that also hosts two massive companions at 2 and 11 au. Our observations reveal a disc extending from 30 to 180 au, split by a 27 au wide gap centred at 74 au, and no dust surrounding the reddened brown dwarf (BD) at 11 au. The gap width suggests the presence of a 0.9M(Jup) planet at 74 au, which would be the third companion in this system. Using previous astrometry of the BD, combined with our derived disc orientation as a prior, we were able to better constrain its orbit finding it is likely eccentric (0.14(-0.04)(+0.05)). For the innermost companion, we used radial velocity, proper motion anomaly, and stability considerations to show its mass and semimajor axis are likely in the ranges 4-100M(Jup) and 1.4-4.5 au. These three companions will interact on secular time-scales and perturb the orbits of planetesimals, stirring the disc and potentially truncating it to its current extent via secular resonances. Finally, the presence of a gap in this system adds to the growing evidence that gaps could be common in wide exo-Kuiper belts. Out of six wide debris discs observed with ALMA with enough resolution, four to five show radial substructure in the form of gaps.</t>
  </si>
  <si>
    <t>Marino, Sebastian/AFP-2400-2022; Henning, Thomas/O-4372-2018; Pérez, Sebastián/AAS-5857-2020; Zurlo, Alice/Q-5011-2019</t>
  </si>
  <si>
    <t>Cieza, Lucas/0000-0002-2828-1153; Marino, Sebastian/0000-0002-5352-2924; Faramaz, Virginie/0000-0001-6403-841X; Matra, Luca/0000-0003-4705-3188; Perez, Sebastian/0000-0003-2953-755X; Zurlo, Alice/0000-0002-5903-8316; Kennedy, Grant/0000-0001-6831-7547</t>
  </si>
  <si>
    <t>10.1093/mnras/staa2386</t>
  </si>
  <si>
    <t>WOS:000587741300091</t>
  </si>
  <si>
    <t>Nieto, GV; Jara, R; Watterson, D; Modhiran, N; Amarilla, AA; Himelreichs, J; Khromykh, AA; Salinas-Rebolledo, C; Pinto, T; Cheuquemilla, Y; Margolles, Y; del Rey, NLG; Miranda-Chacon, Z; Cuevas, A; Berking, A; Deride, C; González-Moraga, S; Mancilla, H; Maturana, D; Langer, A; Toledo, JP; Müller, A; Uberti, B; Krall, P; Ehrenfeld, P; Blesa, J; Chana-Cuevas, P; Rehren, G; Schwefel, D; Fernandez, LA; Rojas-Fernandez, A</t>
  </si>
  <si>
    <t>Valenzuela Nieto, Guillermo; Jara, Ronald; Watterson, Daniel; Modhiran, Naphak; Amarilla, Alberto A.; Himelreichs, Johanna; Khromykh, Alexander A.; Salinas-Rebolledo, Constanza; Pinto, Teresa; Cheuquemilla, Yorka; Margolles, Yago; Gonzalez del Rey, Natalia Lopez; Miranda-Chacon, Zaray; Cuevas, Alexei; Berking, Anne; Deride, Camila; Gonzalez-Moraga, Sebastian; Mancilla, Hector; Maturana, Daniel; Langer, Andreas; Pablo Toledo, Juan; Muller, Ananda; Uberti, Benjamin; Krall, Paola; Ehrenfeld, Pamela; Blesa, Javier; Chana-Cuevas, Pedro; Rehren, German; Schwefel, David; Angel Fernandez, Luis; Rojas-Fernandez, Alejandro</t>
  </si>
  <si>
    <t>Potent neutralization of clinical isolates of SARS-CoV-2 D614 and G614 variants by a monomeric, sub-nanomolar affinity nanobody</t>
  </si>
  <si>
    <t>Despite unprecedented global efforts to rapidly develop SARS-CoV-2 treatments, in order to reduce the burden placed on health systems, the situation remains critical. Effective diagnosis, treatment, and prophylactic measures are urgently required to meet global demand: recombinant antibodies fulfill these requirements and have marked clinical potential. Here, we describe the fast-tracked development of an alpaca Nanobody specific for the receptor-binding-domain (RBD) of the SARS-CoV-2 Spike protein with potential therapeutic applicability. We present a rapid method for nanobody isolation that includes an optimized immunization regimen coupled with VHH library E. coli surface display, which allows single-step selection of Nanobodies using a simple density gradient centrifugation of the bacterial library. The selected single and monomeric Nanobody, W25, binds to the SARS-CoV-2 S RBD with sub-nanomolar affinity and efficiently competes with ACE-2 receptor binding. Furthermore, W25 potently neutralizes SARS-CoV-2 wild type and the D614G variant with IC50 values in the nanomolar range, demonstrating its potential as antiviral agent.</t>
  </si>
  <si>
    <t>Krall, Paola M./KMA-4245-2024; Uberti, Benjamin/AAQ-7804-2021; Valenzuela Nieto, Guillermo/JPX-5383-2023; Modhiran, Naphak/H-9455-2019; Schwefel, David/HLP-7732-2023; Amarilla, Alberto/AFO-4805-2022; Chana-Cuevas, Pedro/AAM-8215-2020; SALINAS, CITLALTEPETL/AAG-4810-2020; Fernandez Herrero, Luis Angel/D-2713-2009; Khromykh, Alexander/X-7200-2018; Rojas Fernandez, Alejandro/K-3291-2014; Blesa, Javier/M-3473-2014</t>
  </si>
  <si>
    <t>Fernandez Herrero, Luis Angel/0000-0001-5920-0638; Khromykh, Alexander/0000-0001-6206-6935; Watterson, Daniel/0000-0001-5957-2853; Mancilla, Hector/0000-0003-4929-3388; MARGOLLES, YAGO/0000-0003-1413-060X; Salinas-Rebolledo, Constanza/0000-0002-6220-504X; Jara Gacitua, Ronald/0009-0005-2861-3911; Valenzuela Nieto, Guillermo Eduardo/0000-0002-3012-8289; Rojas Fernandez, Alejandro/0000-0002-6004-5425; Langer, Andreas/0009-0000-6730-9035; Blesa, Javier/0000-0002-4257-1325</t>
  </si>
  <si>
    <t>10.1038/s41598-021-82833-w</t>
  </si>
  <si>
    <t>WOS:000617646300003</t>
  </si>
  <si>
    <t>Pérez, S; Casassus, S; Hales, A; Marino, S; Cheetham, A; Zurlo, A; Cieza, L; Dong, RB; Alarcón, F; Benítez-Llambay, P; Fomalont, E; Avenhaus, H</t>
  </si>
  <si>
    <t>Perez, Sebastian; Casassus, Simon; Hales, Antonio; Marino, Sebastian; Cheetham, Anthony; Zurlo, Alice; Cieza, Lucas; Dong, Ruobing; Alarcon, Felipe; Benitez-Llambay, Pablo; Fomalont, Ed; Avenhaus, Henning</t>
  </si>
  <si>
    <t>Long Baseline Observations of the HD 100546 Protoplanetary Disk with ALMA</t>
  </si>
  <si>
    <t>Using the Atacama Large Millimeter/submillimeter Array, we observed the young Herbig star HD 100546, host to a prominent disk with a deep, wide gap in the dust. The high-resolution 1.3 mm continuum observation reveals fine radial and azimuthal substructures in the form of a complex maze of ridges and trenches sculpting a dust ring. The (CO)-C-12(2-1) channel maps are modulated by wiggles or kinks that deviate from Keplerian kinematics particularly over the continuum ring, where deviations span 90 degrees in azimuth, covering similar to 5 km s(-1). The most pronounced wiggle resembles the imprint of an embedded massive planet of at least 5 M-Jup predicted from previous hydrodynamical simulations. Such a planet is expected to open a deep gap in both gas and dust density fields within a few orbital timescales, yet the kinematic wiggles lie near ridges in the continuum. The lesser strength of the wiggles in the (CO)-C-13 and (CO)-O-18 isotopologues show that the kinematic signature weakens at lower disk heights, and suggests qualitatively that it is due to vertical flows in the disk surface. Within the gap, the velocity field transitions from Keplerian to strongly non-Keplerian via a twist in position angle, suggesting the presence of another perturber and/or an inner warp. We also present Very Large Telescope/SPHERE sparse aperture masking data that recover scattered light emission from the gap's edges but show no evidence for signal within the gap, discarding a stellar binary origin for its opening.</t>
  </si>
  <si>
    <t>Casassus, Simon/I-8609-2016; Zurlo, Alice/Q-5011-2019; Cheetham, Anthony/ABS-2065-2022; Pérez, Sebastián/AAS-5857-2020; Benítez-Llambay, Pablo/N-1680-2016; Marino, Sebastian/AFP-2400-2022; Rui, Dong/LDG-0179-2024</t>
  </si>
  <si>
    <t>Cieza, Lucas/0000-0002-2828-1153; Casassus, Simon/0000-0002-0433-9840; Hales, Antonio/0000-0001-5073-2849; Benitez-Llambay, Pablo/0000-0002-3728-3329; Perez, Sebastian/0000-0003-2953-755X; Dong, Ruobing/0000-0001-9290-7846; Alarcon, Felipe/0000-0002-2692-7862; Marino, Sebastian/0000-0002-5352-2924; Zurlo, Alice/0000-0002-5903-8316</t>
  </si>
  <si>
    <t>L24</t>
  </si>
  <si>
    <t>10.3847/2041-8213/ab6b2b</t>
  </si>
  <si>
    <t>WOS:000520444000001</t>
  </si>
  <si>
    <t>Moosavi, MA; Haghi, A; Rahmati, M; Taniguchi, H; Mocan, A; Echeverría, J; Gupta, VK; Tzvetkov, NT; Atanasov, AG</t>
  </si>
  <si>
    <t>Moosavi, Mohammad Amin; Haghi, Atousa; Rahmati, Marveh; Taniguchi, Hiroaki; Mocan, Andrei; Echeverria, Javier; Gupta, Vijai K.; Tzvetkov, Nikolay T.; Atanasov, Atanas G.</t>
  </si>
  <si>
    <t>Phytochemicals as potent modulators of autophagy for cancer therapy</t>
  </si>
  <si>
    <t>CANCER LETTERS</t>
  </si>
  <si>
    <t>The dysregulation of autophagy is involved in the pathogenesis of a broad range of diseases, and accordingly universal research efforts have focused on exploring novel compounds with autophagy-modulating properties. While a number of synthetic autophagy modulators have been identified as promising cancer therapy candidates, autophagy-modulating phytochemicals have also attracted attention as potential treatments with minimal side effects. In this review, we firstly highlight the importance of autophagy and its relevance in the pathogenesis and treatment of cancer. Subsequently, we present the data on common phytochemicals and their mechanism of action as autophagy modulators. Finally, we discuss the challenges associated with harnessing the autophagic potential of phytochemicals for cancer therapy. (C) 2018 Elsevier B.V. All rights reserved.</t>
  </si>
  <si>
    <t>Moosavi, Mohammad/AAK-3240-2020; Taniguchi, Hiroaki/KGL-7645-2024; Gupta, Vijai Kumar/O-2445-2014; Mocan, Andrei/AAT-8274-2021; Rahmati, Marveh/AAK-6279-2020; Echeverría, Javier/AAK-3323-2020; Atanasov, Atanas/C-5535-2013</t>
  </si>
  <si>
    <t>Atanasov, Atanas/0000-0003-2545-0967; Taniguchi, Hiroaki/0000-0001-7270-390X; Tzvetkov, Dr. Nikolay T./0000-0002-8482-0481; Echeverria, Javier/0000-0002-1688-968X</t>
  </si>
  <si>
    <t>0304-3835</t>
  </si>
  <si>
    <t>1872-7980</t>
  </si>
  <si>
    <t>10.1016/j.canlet.2018.02.030</t>
  </si>
  <si>
    <t>WOS:000436214400005</t>
  </si>
  <si>
    <t>Gatta, DR; Huidobro, L; Petermann-Rocha, F; Van de Wyngard, V; Godoy, F; Cid, V; Garrido, M; Cook, P; Roa, JC; Vargas, C; Araya, JC; Cortes, S; Cruz, F; Koshiol, J; Arrese, M; Ferreccio, C</t>
  </si>
  <si>
    <t>Gatta, Danae Rodriguez; Huidobro, Laura; Petermann-Rocha, Fanny; Van de Wyngard, Vanessa; Godoy, Franco; Cid, Vicente; Garrido, Macarena; Cook, Paz; Roa, Juan Carlos; Vargas, Claudio; Araya, Juan Carlos; Cortes, Sandra; Cruz, Francisco; Koshiol, Jill; Arrese, Marco; Ferreccio, Catterina</t>
  </si>
  <si>
    <t>Sex disparities in gallstone disease: insights from the MAUCO prospective population-based cohort study</t>
  </si>
  <si>
    <t>BMJ OPEN GASTROENTEROLOGY</t>
  </si>
  <si>
    <t>Objective To investigate factors associated with the prevalence and incidence of gallstone disease (GSD) in women and men of the MAUCO population-based prospective cohort. Design 8948 MAUCO participants (aged 38-74 years) underwent abdominal ultrasound at baseline (2015-2019); 4385 received follow-up ultrasound at years 2 or 4. Factors associated with prevalent GSD were assessed using Poisson multiple regression and with incident GSD using Cox regression models. Results GSD prevalence was 40.4% in women (13.1% gallstones, 27.3% cholecystectomies) and 17.1% in men (8.9% gallstones, 8.2% cholecystectomies). In men, GSD prevalence rate ratio (PRR) by age in &gt;64 years was 3.85 (95% CI 3.00 to 4.94), doubling that of women's PRR 1.78 (95% CI 1.57 to 2.01). In women, waist circumference and diabetes were stronger GSD factors; a higher number of children and worse metabolic and socioeconomic conditions were also highlighted. GSD men had higher cardiovascular disease and a family history of GSD and gallbladder cancer. 198 GSD cases developed during follow-up, with incidence increasing by 2% (95% CI 1.005% to 1.03%) per each centimetre above the ideal waist circumference, statistically significant only in women. In men, age was the strongest factor for incidence, followed by a family history of GSD and low high-density lipoprotein increased incidence risk. Conclusions GSD burden was high in this population; a third of women had their gallbladder removed, which may pose them at risk of other health problems. Abdominal obesity was the only preventable GSD risk factor, highlighting the need for effective public health policies promoting obesity reduction.</t>
  </si>
  <si>
    <t>ARAYA, JUAN/Q-5575-2018; Huidobro, Laura/AAN-8812-2021; Petermann-Rocha, Fanny/AAK-1230-2021; koshiol, Jill/L-8686-2014; ARRESE, MARCO/ABB-9061-2021; Roa, Juan/K-4749-2014</t>
  </si>
  <si>
    <t>Petermann Rocha, Fanny/0000-0002-4384-4962; Rodriguez Gatta, Danae/0000-0001-5423-0336</t>
  </si>
  <si>
    <t>2054-4774</t>
  </si>
  <si>
    <t>SEP 27</t>
  </si>
  <si>
    <t>e001457</t>
  </si>
  <si>
    <t>10.1136/bmjgast-2024-001457</t>
  </si>
  <si>
    <t>WOS:001325110500001</t>
  </si>
  <si>
    <t>López, RA; Micera, A; Lazar, M; Poedts, S; Lapenta, G; Zhukov, AN; Boella, E; Shaaban, SM</t>
  </si>
  <si>
    <t>Lopez, R. A.; Micera, A.; Lazar, M.; Poedts, S.; Lapenta, G.; Zhukov, A. N.; Boella, E.; Shaaban, S. M.</t>
  </si>
  <si>
    <t>Mixing the Solar Wind Proton and Electron Scales. Theory and 2D-PIC Simulations of Firehose Instability</t>
  </si>
  <si>
    <t>Firehose-like instabilities (FIs) are cited in multiple astrophysical applications. Of particular interest are the kinetic manifestations in weakly collisional or even collisionless plasmas, where these instabilities are expected to contribute to the evolution of macroscopic parameters. Relatively recent studies have initiated a realistic description of FIs, as induced by the interplay of both species, electrons and protons, dominant in the solar wind plasma. This work complements the current knowledge with new insights from linear theory and the first disclosures from 2D-PIC simulations, identifying the fastest growing modes near the instability thresholds and their long-run consequences on the anisotropic distributions. Thus, unlike previous setups, these conditions are favorable to those aperiodic branches that propagate obliquely to the uniform magnetic field, with (maximum) growth rates higher than periodic, quasi-parallel modes. Theoretical predictions are, in general, confirmed by the simulations. The aperiodic electron FI (a-EFI) remains unaffected by the proton anisotropy, and saturates rapidly at low-level fluctuations. Regarding the FI at proton scales, we see a stronger competition between the periodic and aperiodic branches. For the parameters chosen in our analysis, the aperiodic proton FI (a-PFI) is excited before than the periodic proton FI (p-PFI), with the latter reaching a significantly higher fluctuation power. However, both branches are significantly enhanced by the presence of anisotropic electrons. The interplay between EFIs and PFIs also produces a more pronounced proton isotropization.</t>
  </si>
  <si>
    <t>Lazar, Marian/U-7133-2019; Boella, Elisabetta/ABD-3303-2021; Micera, Alfredo/HQZ-7963-2023; Shaaban, Shaaban/O-4663-2019; Poedts, Stefaan/AAG-1995-2019; Lazar, Marian/C-3264-2012; Lopez, Rodrigo/H-7576-2013; Poedts, Stefaan/C-9775-2012; Boella, Elisabetta/K-6607-2015; Lapenta, Giovanni/J-5221-2016</t>
  </si>
  <si>
    <t>Lazar, Marian/0000-0002-8508-5466; Zhukov, Andrei/0000-0002-2542-9810; Shaaban, Shaaban Mohammed/0000-0003-0465-598X; Lopez, Rodrigo/0000-0003-3223-1498; Poedts, Stefaan/0000-0002-1743-0651; Boella, Elisabetta/0000-0003-1970-6794; Lapenta, Giovanni/0000-0002-3123-4024; Micera, Alfredo/0000-0001-9293-174X</t>
  </si>
  <si>
    <t>10.3847/1538-4357/ac66e4</t>
  </si>
  <si>
    <t>WOS:000796728900001</t>
  </si>
  <si>
    <t>Strachan, DP; Aït-Khaled, N; Foliaki, S; Mallol, J; Odhiambo, J; Pearce, N; Williams, HC</t>
  </si>
  <si>
    <t>Strachan, D. P.; Ait-Khaled, N.; Foliaki, S.; Mallol, J.; Odhiambo, J.; Pearce, N.; Williams, H. C.</t>
  </si>
  <si>
    <t>ISAAC Phase Three Study Grp</t>
  </si>
  <si>
    <t>Siblings, asthma, rhinoconjunctivitis and eczema: a worldwide perspective from the International Study of Asthma and Allergies in Childhood</t>
  </si>
  <si>
    <t>CLINICAL AND EXPERIMENTAL ALLERGY</t>
  </si>
  <si>
    <t>BackgroundAssociations of larger families with lower prevalences of hay fever, eczema and objective markers of allergic sensitization have been found fairly consistently in affluent countries, but little is known about these relationships in less affluent countries. MethodsQuestionnaire data for 210200 children aged 6-7years from 31 countries, and 337226 children aged 13-14years from 52 countries, were collected by Phase Three of the International Study of Asthma and Allergies in Childhood (ISAAC). Associations of disease symptoms and labels of asthma, rhinoconjunctivitis and eczema were analysed by numbers of total, older and younger siblings, using mixed (multi-level) logistic regression models to adjust for individual covariates and at the centre level for region, language and national affluence. ResultsIn both age groups, inverse trends (P&lt;0.0001) were observed for reported hay fever ever' and eczema ever' with increasing numbers of total siblings, and more specifically older siblings. These inverse associations were significantly (P&lt;0.005) stronger in more affluent countries. In contrast, symptoms of severe asthma and severe eczema were positively associated (P&lt;0.0001) with total sibship size in both age groups. These associations with disease severity were largely independent of position within the sibship and national GNI per capita. ConclusionsThese global findings on sibship size and childhood asthma, rhinoconjunctivitis and eczema suggest at least two distinct trends. Inverse associations with older siblings (observations which prompted the hygiene hypothesis' for allergic disease) are mainly a phenomenon of more affluent countries, whereas greater severity of symptoms in larger families is globally more widespread.</t>
  </si>
  <si>
    <t>FRACP, Tissa/I-2086-2019; Ellwood, Philippa/G-7555-2015</t>
  </si>
  <si>
    <t>Pearce, Neil/0000-0002-9938-7852; williams, hywel/0000-0002-5646-3093; , Sunia/0000-0002-3238-5940; Ellwood, Philippa/0000-0002-1994-4023; Strachan, David/0000-0001-7854-1366; Amarales, Lidia/0009-0007-0832-7867; Mallol, Javier/0000-0003-2528-8672</t>
  </si>
  <si>
    <t>0954-7894</t>
  </si>
  <si>
    <t>1365-2222</t>
  </si>
  <si>
    <t>10.1111/cea.12349</t>
  </si>
  <si>
    <t>WOS:000346910800015</t>
  </si>
  <si>
    <t>Bravo, MA; Molina, MG; Martinez-Ledesma, M; Barbas, BD; Urra, B; Elias, A; Souza, J; Villalobos, C; Namour, JH; Ovalle, E; Venchiarutti, JV; Blunier, S; Valdes-Abreu, JC; Guillermo, E; Rojo, E; de Pasquale, L; Carrasco, E; Leiva, R; Rivera, CC; Foppiano, A; Milla, M; Munoz, PR; Stepanova, M; Valdivia, JA; Cabrera, M</t>
  </si>
  <si>
    <t>Bravo, M. A.; Molina, M. G.; Martinez-Ledesma, M.; de Haro Barbas, B.; Urra, B.; Elias, A.; Souza, J.; Villalobos, C.; Namour, J. H.; Ovalle, E.; Venchiarutti, J. V.; Blunier, S.; Valdes-Abreu, J. C.; Guillermo, E.; Rojo, E.; de Pasquale, L.; Carrasco, E.; Leiva, R.; Castillo Rivera, C.; Foppiano, A.; Milla, M.; Munoz, P. R.; Stepanova, M.; Valdivia, J. A.; Cabrera, M.</t>
  </si>
  <si>
    <t>Ionospheric response modeling under eclipse conditions: Evaluation of 14 December 2020, total solar eclipse prediction over the South American sector</t>
  </si>
  <si>
    <t>In this work, we evaluate the SUPIM-INPE model prediction of the 14 December 2020, total solar eclipse over the South American continent. We compare the predictions with data from multiple instruments for monitoring the ionosphere and with different obscuration percentages (i.e., Jicamarca, 12.0 degrees S, 76.8 degrees W, 17%; Tucuman 26.9 degrees S, 65.4 degrees W, 49%; Chillan 36.6 degrees S, 72.0 degrees W; and Bahia Blanca, 38.7 degrees S, 62.3 degrees W, reach 95% obscuration) due to the eclipse. The analysis is done under total eclipse conditions and non-total eclipse conditions. Results obtained suggest that the model was able to reproduce with high accuracy both the daily variation and the eclipse impacts of E and F1 layers in the majority of the stations evaluated (except in Jicamarca station). The comparison at the F2 layer indicates small differences (&lt; 7.8%) between the predictions and observations at all stations during the eclipse periods. Additionally, statistical metrics reinforce the conclusion of a good performance of the model. Predicted and calibrated Total Electron Content (TEC, using 3 different techniques) are also compared. Results show that, although none of the selected TEC calibration methods have a good agreement with the SUPIM-INPE prediction, they exhibit similar trends in most of the cases. We also analyze data from the Jicamarca Incoherent Scatter Radar (ISR), and Swarm-A and GOLD missions. The electron temperature changes observed in ISR and Swarm-A are underestimated by the prediction. Also, important changes in the O/N2 ratio due to the eclipse, have been observed with GOLD mission data. Thus, future versions of the SUPIM-INPE model for eclipse conditions should consider effects on thermospheric winds and changes in composition, specifically in the O/N2 ratio.</t>
  </si>
  <si>
    <t>Blunier, Sylvain/AAN-1380-2021; Bravo, Manuel/AAD-8540-2020; Foppiano, Alberto/LJM-1122-2024; Valdivia, Juan/A-3631-2008; Valdés-Abreu, Juan Carlos/AHC-0425-2022; Stepanova, Marina/D-6329-2011; Martinez-Ledesma, Miguel/F-9831-2015; Munoz Gutberlet, Pablo/L-3683-2013; Valdes-Abreu, Juan Carlos/IZD-8456-2023; Milla, Marco/L-9345-2013</t>
  </si>
  <si>
    <t>Molina, Maria Graciela/0000-0003-2563-7457; Stepanova, Marina/0000-0002-1053-3375; Martinez-Ledesma, Miguel/0000-0001-6932-1249; Castillo Rivera, Carlos/0009-0009-0381-5946; GUILLERMO, Eduardo Daniel/0009-0001-4311-1363; Urra Pacheco, Benjamin/0000-0003-3645-818X; Bravo Sepulveda, Manuel Alejandro/0000-0002-5648-429X; Villalobos, Carlos/0000-0002-1637-2349; Valdivia, Juan Alejandro/0000-0003-3381-9904; Munoz Gutberlet, Pablo/0000-0002-3435-6422; Valdes-Abreu, Juan Carlos/0000-0001-7355-6809; Milla, Marco/0000-0001-9067-863X</t>
  </si>
  <si>
    <t>10.3389/fspas.2022.1021910</t>
  </si>
  <si>
    <t>WOS:000906418100001</t>
  </si>
  <si>
    <t>Sanz, C; Carrillo, F; Slachevsky, A; Forno, G; Tempini, MLG; Villagra, R; Ibáñez, A; Tagliazucchi, E; García, AM</t>
  </si>
  <si>
    <t>Sanz, Camila; Carrillo, Facundo; Slachevsky, Andrea; Forno, Gonzalo; Tempini, Maria Luisa Gorno; Villagra, Roque; Ibanez, Agustin; Tagliazucchi, Enzo; Garcia, Adolfo M. M.</t>
  </si>
  <si>
    <t>Automated text-level semantic markers of Alzheimer's disease</t>
  </si>
  <si>
    <t>ALZHEIMER'S &amp; DEMENTIA: DIAGNOSIS, ASSESSMENT &amp; DISEASE MONITORING</t>
  </si>
  <si>
    <t>IntroductionAutomated speech analysis has emerged as a scalable, cost-effective tool to identify persons with Alzheimer's disease dementia (ADD). Yet, most research is undermined by low interpretability and specificity. MethodsCombining statistical and machine learning analyses of natural speech data, we aimed to discriminate ADD patients from healthy controls (HCs) based on automated measures of domains typically affected in ADD: semantic granularity (coarseness of concepts) and ongoing semantic variability (conceptual closeness of successive words). To test for specificity, we replicated the analyses on Parkinson's disease (PD) patients. ResultsRelative to controls, ADD (but not PD) patients exhibited significant differences in both measures. Also, these features robustly discriminated between ADD patients and HC, while yielding near-chance classification between PD patients and HCs. DiscussionAutomated discourse-level semantic analyses can reveal objective, interpretable, and specific markers of ADD, bridging well-established neuropsychological targets with digital assessment tools.</t>
  </si>
  <si>
    <t>García, Adolfo/E-7150-2017; Ibanez, Agustin/H-7976-2015; Tagliazucchi Greiner, Enzo/F-3618-2019</t>
  </si>
  <si>
    <t>Forno, Gonzalo/0000-0003-2739-6028; Ibanez, Agustin/0000-0001-6758-5101; Tagliazucchi Greiner, Enzo/0000-0003-0421-9993</t>
  </si>
  <si>
    <t>2352-8729</t>
  </si>
  <si>
    <t>10.1002/dad2.12276</t>
  </si>
  <si>
    <t>WOS:000914865700021</t>
  </si>
  <si>
    <t>Arce-Tord, C; Casassus, S; Dent, WRF; Pérez, S; Cárcamo, M; Weber, P; Engler, N; Cieza, LA; Hales, A; Zurlo, A; Marino, S</t>
  </si>
  <si>
    <t>Arce-Tord, Carla; Casassus, Simon; Dent, William R. F.; Perez, Sebastian; Carcamo, Miguel; Weber, Philipp; Engler, Natalia; Cieza, Lucas A.; Hales, Antonio; Zurlo, Alice; Marino, Sebastian</t>
  </si>
  <si>
    <t>Radio-continuum decrements associated to shadowing from the central warp in transition disc DoAr44</t>
  </si>
  <si>
    <t>Warps have often been used to explain disc properties, but well-characterized examples are important due to their role in disc evolution. Scattered light images of discs with central gaps have revealed sharp warps, such that the outer rings are shadowed by tilted inner discs. The near-infrared intensity drops along the ring around T-Tauri star DoAr44 have been interpreted in terms of a central warp. We report new ALMA observations of DoAr44 in the continuum at 230 and 350GHz (at similar to 10au), along with a new epoch of Spectro Polarimetric High-contrast Exoplanet REsearch (SPHERE)/Infrared Dual-band Imager and Spectrograph differential polarized imaging taken during excellent weather conditions. The ALMA observations resolve the ring and confirm the decrements proposed from deconvolution of coarse 336GHz data. The scattered light image constrains the dips, which correspond to a misaligned inner disc with a relative inclination xi =21.4(-8.3)(+6.7) deg. The SPHERE intensity profile shows a morphological change compared to a previous epoch that may be interpreted as a variable orientation of the inner disc, from xi similar to 30 deg to xi similar to 20 deg. The intensity dips probably correspond to temperature decrements, as their mm-spectral index, alpha(230GHz)(350GHz) similar to 2.0 +/- 0.1, is indicative of optically thick emission. The azimuth of the two temperature decrements are leading clockwise relative to the infrared-dips, by eta=14.95deg and eta = 7.92deg. For a retrograde disc, such shifts are expected from a thermal lag and imply gas surface densities of Sigma(g) = 117 +/- 10 gcm(-2) and Sigma(g) = 48 +/- 10gcm(-2). A lopsided disc, with contrast ratio f(r) = 2.4 +/- 0.5, is also consistent with the large continuum crescent.</t>
  </si>
  <si>
    <t>Zurlo, Alice/Q-5011-2019; Pérez, Sebastián/AAS-5857-2020; Casassus, Simon/I-8609-2016; Marino, Sebastian/AFP-2400-2022; Carcamo, Miguel/LEM-3690-2024; Weber, Philipp/HLX-1365-2023</t>
  </si>
  <si>
    <t>Carcamo, Miguel/0000-0003-0564-8167; Arce-Tord, Carla/0000-0002-0176-4331; Casassus, Simon/0000-0002-0433-9840; Cieza, Lucas/0000-0002-2828-1153; Weber, Philipp/0000-0002-3354-6654; Zurlo, Alice/0000-0002-5903-8316; Marino, Sebastian/0000-0002-5352-2924; Perez, Sebastian/0000-0003-2953-755X</t>
  </si>
  <si>
    <t>SEP 29</t>
  </si>
  <si>
    <t>10.1093/mnras/stad2885</t>
  </si>
  <si>
    <t>WOS:001078226700033</t>
  </si>
  <si>
    <t>Kovalskys, I; Fisberg, M; Previdelli, AN; Pereira, JL; Zimberg, IZ; Guajardo, V; Fisberg, R; Ferrari, G; Gómez, G; Rigotti, A; Sanabria, LYC; García, MCY; Herrera-Cuenca, M; Domínguez, MRL</t>
  </si>
  <si>
    <t>Kovalskys, Irina; Fisberg, Mauro; Previdelli, Agatha Nogueira; Pereira, Jaqueline Lopes; Zimberg, Iona Zalcman; Guajardo, Viviana; Fisberg, Regina; Ferrari, Gerson; Gomez, Georgina; Rigotti, Attilio; Cortes Sanabria, Lilia Y.; Yepez Garcia, Martha C.; Herrera-Cuenca, Marianella; Liria Dominguez, Maria Reyna</t>
  </si>
  <si>
    <t>Breakfast in Latin America: Evaluation of Nutrient and Food Group Intake Toward a Nutrient-Based Recommendation</t>
  </si>
  <si>
    <t>JOURNAL OF THE ACADEMY OF NUTRITION AND DIETETICS</t>
  </si>
  <si>
    <t>Background Little is known about breakfast habits of the Latin American (LA) population to support nutritional recommendations for a balanced breakfast in this region. Objective To evaluate the nutritional composition of breakfast in the LA population and to propose recommendations for a balanced breakfast. Design This multicenter cross-sectional study evaluated food and nutrient intake of nationally representative samples of urban populations of 8 LA countries (Argentina, Brazil, Chile, Colombia, Costa Rica, Ecuador, Peru, and Venezuela) in 2014-2015. Participants/setting The sample comprised 8714 participants from the Latin American Study of Nutrition and Health, aged 15 to 65 years, randomly recruited according to geographical location, sex, age, and socioeconomic level. Main outcome measures Two 24-hour recalls were used to examine dietary intake. Breakfast consumers were stratified by tertiles of Nutrient-Rich Foods Index 9.3 (NRF9.3) to assess the overall diet quality of individuals. Nutrient intake at breakfast of those in the upper tertile of NRF9.3 pooled for the 8 countries was used as a reference for the development of recommendations for LA adolescents and adults. Statistical analyses Comparison of food and nutrient intake of breakfast across NRF9.3 tertiles were analyzed using the Kruskal-Wallis rank sum test. Results Overall breakfast was an important contributor to protein, carbohydrate, and B vitamin intakes but also to added sugar and total and saturated fat intakes relative to daily intakes. Individuals in the upper NRF9.3 tertile had higher intake of key micro-nutrients such as calcium and potassium at breakfast compared with other tertiles. White breads/rolls/tortillas were the most consumed food group (60%), followed by butter/margarine (40%) and coffee tea without milk (34%-50%). Conclusions Breakfast contributed to the daily intake of B vitamins, protein, and carbohydrates but also added sugar and total and saturated fat intakes for all countries. The proposed recommendations support the nutrient density of existing highest-quality breakfast in the LA population while addressing concerns about nutrients to be encouraged or reduced.</t>
  </si>
  <si>
    <t>Ferrari, Gerson/HHM-6173-2022; Pereira, Jaqueline/P-7261-2019; Zimberg, Iona/E-8452-2012; Cortes, Lilia/AAF-2960-2019; Gomez, Georgina/AAR-7272-2020; DOMINGUEZ, MARIA/F-1233-2018; Fisberg, Regina/Q-6494-2019; Ferrari, Gerson/P-1152-2014</t>
  </si>
  <si>
    <t>Zimberg, Iona Zalcman/0000-0002-3207-0076; Previdelli, Agatha/0000-0003-0032-4323; Gomez, Georgina/0000-0003-3514-2984; Ferrari, Gerson/0000-0003-3177-6576; Cortes, Lilia Yadira/0000-0003-2789-3219</t>
  </si>
  <si>
    <t>2212-2672</t>
  </si>
  <si>
    <t>2212-2680</t>
  </si>
  <si>
    <t>10.1016/j.jand.2021.11.012</t>
  </si>
  <si>
    <t>WOS:000841752200005</t>
  </si>
  <si>
    <t>Mallol, J; Solé, D; Garcia-Marcos, L; Rosario, N; Aguirre, V; Chong, H; Urrutia-Pereira, M; Szulman, G; Niederbacher, J; Arruda-Chavez, E; Toledo, E; Sanchez, L; Pinchak, C</t>
  </si>
  <si>
    <t>Mallol, Javier; Sole, Dirceu; Garcia-Marcos, Luis; Rosario, Nelson; Aguirre, Viviana; Chong, Herberto; Urrutia-Pereira, Marilyn; Szulman, Gabriela; Niederbacher, Jurg; Arruda-Chavez, Erika; Toledo, Eliana; Sanchez, Lillian; Pinchak, Catalina</t>
  </si>
  <si>
    <t>EISL Latin Amer Grp</t>
  </si>
  <si>
    <t>Prevalence, Severity, and Treatment of Recurrent Wheezing During the First Year of Life: A Cross-Sectional Study of 12,405 Latin American Infants</t>
  </si>
  <si>
    <t>ALLERGY ASTHMA &amp; IMMUNOLOGY RESEARCH</t>
  </si>
  <si>
    <t>Purpose: This study aimed to determine the prevalence and severity of recurrent wheezing (RW) defined as 3 episodes of wheezing, risk factors, and treatments prescribed during the first year of life in Latin American infants. Methods: In this international, cross-sectional, and community-based study, parents of 12,405 infants from 11 centers in 6 South American countries (Argentina, Brazil, Chile, Colombia, Peru, and Uruguay) completed a questionnaire about wheezing and associated risk/protective factors, asthma medications, and the frequency of and indications for the prescription of antibiotics and paracetamol during the first year of life. Results: The prevalence of RW was 16.6% (95% Cl 16.0-17.3); of the 12,405 infants, 72.7% (95% Cl 70.7-74.6) visited the Emergency Department for wheezing, and 29.7% (27.7-31.7) was admitted. Regarding treatment, 49.1% of RW infants received inhaled corticosteroids, 55.7% oral corticosteroids, 26.3% antileukotrienes, 22.9% antibiotics &gt;= 4 times mainly for common colds, wheezing, and pharyngitis, and 57.5% paracetamol &gt;= 4 times. Tobacco smoking during pregnancy, household income per month &lt;1,000 USD, history of parental asthma, male gender, and nursery school attendance were significant risk factors for higher prevalence and severity of RW, whereas breast-feeding for at least 3 months was a significant protective factor. Pneumonia and admissions for pneumonia were significantly higher in infants with RW as compared to the whole sample (3.5-fold and 3.7-fold, respectively). Conclusions: RW affects 1.6 out of 10 infants during the first year of life, with a high prevalence of severe episodes, frequent visits to the Emergency Department, and frequent admissions for wheezing. Besides the elevated prescription of asthma medications, there is an excessive use of antibiotics and paracetamol in infants with RW and also in the whole sample, which is mainly related to common colds.</t>
  </si>
  <si>
    <t>Sanchez, Lillian/HKP-2332-2023; Solé, Dirceu/JAO-0340-2023; Chong Neto, Herberto Jose/K-4077-2013</t>
  </si>
  <si>
    <t>Chong Neto, Herberto Jose/0000-0002-7960-3925; Garcia-Marcos, Luis/0000-0002-0925-3851; Urrutia-Pereira, Marilyn/0000-0001-6575-7897; Matsuura de Oliveira, Cibele/0000-0003-4410-5122; Ivancevich, Juan Carlos/0000-0001-8713-6258; Mallol, Javier/0000-0003-2528-8672</t>
  </si>
  <si>
    <t>2092-7355</t>
  </si>
  <si>
    <t>2092-7363</t>
  </si>
  <si>
    <t>10.4168/aair.2016.8.1.22</t>
  </si>
  <si>
    <t>WOS:000367758400004</t>
  </si>
  <si>
    <t>Leone, FPG; Timmerman, D; Bourne, T; Valentin, L; Epstein, E; Goldstein, SR; Marret, H; Parsons, AK; Gull, B; Istre, O; Sepulveda, W; Ferrazzi, E; Van Den Bosch, T</t>
  </si>
  <si>
    <t>Leone, F. P. G.; Timmerman, D.; Bourne, T.; Valentin, L.; Epstein, E.; Goldstein, S. R.; Marret, H.; Parsons, A. K.; Gull, B.; Istre, O.; Sepulveda, W.; Ferrazzi, E.; Van Den Bosch, T.</t>
  </si>
  <si>
    <t>Terms, definitions and measurements to describe the sonographic features of the endometrium and intrauterine lesions: a consensus opinion from the International Endometrial Tumor Analysis (IETA) group</t>
  </si>
  <si>
    <t>ULTRASOUND IN OBSTETRICS &amp; GYNECOLOGY</t>
  </si>
  <si>
    <t>The IETA (international Endometrial Tumor Analysis group) statement is a consensus statement on terms, definitions and measurements that may be used to describe the sonographic features of the endometrium and uterine cavity on gray-scale sonography, color flow imaging and sonohysterography. The relationship between the ultrasound features described and the presence or absence of pathology is not known. However, the IETA terms and definitions may form the basis for Prospective studies to predict the risk of different endometrial pathologies based on their ultrasound appearance. Copyright (c) 2009 ISUOG. Published by John Wiley &amp; Sons, Ltd.</t>
  </si>
  <si>
    <t>Ferrazzi, Enrico/AAB-9416-2019; Timmerman, Dirk/AAD-2363-2019; Bourne, Tom/I-6478-2012; epstein, elisabeth/F-4586-2014</t>
  </si>
  <si>
    <t>Timmerman, Dirk/0000-0002-3707-6645; Bourne, Tom/0000-0003-1421-6059; Valentin, Lil/0000-0002-3830-6414; epstein, elisabeth/0000-0003-2298-7785</t>
  </si>
  <si>
    <t>0960-7692</t>
  </si>
  <si>
    <t>1469-0705</t>
  </si>
  <si>
    <t>10.1002/uog.7487</t>
  </si>
  <si>
    <t>WOS:000273679800017</t>
  </si>
  <si>
    <t>Ferrari, G; Nascimento, MD; Petermann-Rocha, F; Rezende, LFM; O'Donovan, G; Gouveia, ER; Cristi-Montero, C; Marques, A</t>
  </si>
  <si>
    <t>Ferrari, Gerson; Nascimento, Marcelo de Maio; Petermann-Rocha, Fanny; Rezende, Leandro F. M.; O'Donovan, Gary; Gouveia, Elvio R.; Cristi-Montero, Carlos; Marques, Adilson</t>
  </si>
  <si>
    <t>Lifestyle risk factors and all-cause and cause-specific mortality in the Mexico City prospective study: Assessing the influence of reverse causation</t>
  </si>
  <si>
    <t>Background: We examined the association between individual lifestyle risk factors with all -cause and causespecific mortality. Methods: Prospective cohort study including 155,002 participants from the Mexico City Prospective Study. Cox regression models were used to estimate the association between individual lifestyle risk factors and all -cause and cause -specific mortality. Participants with prevalent diseases at baseline and participants who died during the first 2, 5, 10, and 15 years of follow-up were excluded to account for reverse causation. Results: 27,469 people died during 18.3 years of follow-up years. Overweight and moderate alcohol consumption were inversely associated with all -cause mortality, while low physical activity and smoking were positively associated when all participants were included, regardless of prevalent disease or duration of follow-up. The direction of the association of overweight with all -cause mortality changed from inverse to positive after excluding the first 10 years of follow-up. Compared with normal weight, the hazard ratio (95 % confidence interval) was 1.17 (1.13,1.22) for obesity after excluding those who died in the first 5 years of follow-up and 1.71 (1.59,1.84) after excluding the first 15 years of follow-up. The magnitude of the association of alcohol intake, low physical activity, and smoking with mortality attenuated, whereas for fruits and vegetables increased, after excluding longer periods of follow-up. Limitations: The data were collected exclusively in Mexico City; lifestyle risk factors were self -reported and thus prone to misclassification bias. Conclusions: Reverse causation may influence both the magnitude and the direction of the associations between lifestyle risk factors and mortality.</t>
  </si>
  <si>
    <t>Ferrari, Gerson/HHM-6173-2022; Petermann-Rocha, Fanny/AAK-1230-2021; Marques, Adilson/K-4529-2014; Cristi-Montero, Carlos/AAE-4945-2020; Gouveia, Elvio/F-9156-2015; Rezende, Leandro/C-1724-2012</t>
  </si>
  <si>
    <t>O'Donovan, Gary/0000-0001-6748-6218; Rezende, Leandro/0000-0002-7469-1399; Petermann Rocha, Fanny/0000-0002-4384-4962</t>
  </si>
  <si>
    <t>10.1016/j.jad.2024.02.072</t>
  </si>
  <si>
    <t>WOS:001208451300001</t>
  </si>
  <si>
    <t>Cubillos, FA; Parts, L; Salinas, F; Bergström, A; Scovacricchi, E; Zia, A; Illingworth, CJR; Mustonen, V; Ibstedt, S; Warringer, J; Louis, EJ; Durbin, R; Liti, G</t>
  </si>
  <si>
    <t>Cubillos, Francisco A.; Parts, Leopold; Salinas, Francisco; Bergstroem, Anders; Scovacricchi, Eugenio; Zia, Amin; Illingworth, Christopher J. R.; Mustonen, Ville; Ibstedt, Sebastian; Warringer, Jonas; Louis, Edward J.; Durbin, Richard; Liti, Gianni</t>
  </si>
  <si>
    <t>High-Resolution Mapping of Complex Traits with a Four-Parent Advanced Intercross Yeast Population</t>
  </si>
  <si>
    <t>GENETICS</t>
  </si>
  <si>
    <t>A large fraction of human complex trait heritability is due to a high number of variants with small marginal effects and their interactions with genotype and environment. Such alleles are more easily studied in model organisms, where environment, genetic makeup, and allele frequencies can be controlled. Here, we examine the effect of natural genetic variation on heritable traits in a very large pool of baker's yeast from a multiparent 12th generation intercross. We selected four representative founder strains to produce the Saccharomyces Genome Resequencing Project (SGRP)-4X mapping population and sequenced 192 segregants to generate an accurate genetic map. Using these individuals, we mapped 25 loci linked to growth traits under heat stress, arsenite, and paraquat, the majority of which were best explained by a diverging phenotype caused by a single allele in one condition. By sequencing pooled DNA from millions of segregants grown under heat stress, we further identified 34 and 39 regions selected in haploid and diploid pools, respectively, with most of the selection against a single allele. While the most parsimonious model for the majority of loci mapped using either approach was the effect of an allele private to one founder, we could validate examples of pleiotropic effects and complex allelic series at a locus. SGRP-4X is a deeply characterized resource that provides a framework for powerful and high-resolution genetic analysis of yeast phenotypes and serves as a test bed for testing avenues to attack human complex traits.</t>
  </si>
  <si>
    <t>Durbin, Richard/AAE-7178-2019; Liti, Gianni/I-9929-2014; Cubillos, Francisco/MIT-2389-2025; Illingworth, Christopher/F-1715-2010; Warringer, Jonas/B-8520-2013; Louis, Edward/B-7920-2008; Salinas, Francisco/W-3269-2017; Mustonen, Ville/J-1155-2018; Cubillos, Francisco/G-5195-2019</t>
  </si>
  <si>
    <t>Parts, Leopold/0000-0002-2618-670X; Louis, Edward/0000-0003-1157-3608; Salinas, Francisco/0000-0002-8391-8145; Liti, Gianni/0000-0002-2318-0775; Zia, Amin/0000-0002-1239-0857; Illingworth, Chris/0000-0002-0030-2784; Bergstrom, Anders/0000-0002-4096-9268; Mustonen, Ville/0000-0002-7270-1792; Cubillos, Francisco/0000-0003-3022-469X; Durbin, Richard/0000-0002-9130-1006</t>
  </si>
  <si>
    <t>0016-6731</t>
  </si>
  <si>
    <t>1943-2631</t>
  </si>
  <si>
    <t>10.1534/genetics.113.155515</t>
  </si>
  <si>
    <t>WOS:000329874100038</t>
  </si>
  <si>
    <t>Gómez, G; Kovalskys, I; Leme, ACB; Quesada, D; Rigotti, A; Sanabria, LYC; García, MCY; Liria-Domínguez, MR; Herrera-Cuenca, M; Fisberg, RM; Previdelli, AN; Guajardo, V; Ferrari, G; Fisberg, M; Brenes, JC</t>
  </si>
  <si>
    <t>Gomez, Georgina; Kovalskys, Irina; Leme, Ana Carolina B.; Quesada, Dayana; Rigotti, Attilio; Cortes Sanabria, Lilia Yadira; Yepez Garcia, Martha Cecilia; Reyna Liria-Dominguez, Maria; Herrera-Cuenca, Marianella; Fisberg, Regina Mara; Previdelli, Agatha Nogueira; Guajardo, Viviana; Ferrari, Gerson; Fisberg, Mauro; Brenes, Juan Carlos</t>
  </si>
  <si>
    <t>Socioeconomic Status Impact on Diet Quality and Body Mass Index in Eight Latin American Countries: ELANS Study Results</t>
  </si>
  <si>
    <t>Poor health and diet quality are associated with living within a low socioeconomic status (SES). This study aimed to investigate the impact of SES on diet quality and body mass index in Latin America. Data from the Latin American Health and Nutrition Study (ELANS), a multi-country, population-based study of 9218 participants, were used. Dietary intake was collected through two 24 h recalls from participants of Argentina, Brazil, Chile, Colombia, Costa Rica, Ecuador, Peru and Venezuela. Diet quality was assessed using the dietary quality score (DQS), the dietary diversity score (DDS) and the nutrients adequacy ratio (NAR). Chi-squared and multivariate-variance analyses were used to estimate possible associations. We found that participants from the low SES consumed less fruits, vegetables, whole grains, fiber and fish and seafood and more legumes than those in the high SES. Also, the diet quality level, assessed by DQS, DDS and NAR mean, increased with SES. Women in the low SES also showed a larger prevalence of abdominal obesity and excess weight than those in the middle and high SES. Health policies and behavioral-change strategies should be addressed to reduce the impact of socioeconomic factors on diet quality and body weight, with gender as an additional level of vulnerability.</t>
  </si>
  <si>
    <t>Cortes, Lilia/AAF-2960-2019; Ferrari, Gerson/ABG-6635-2021; Liria, Reyna/CAA-0410-2022; Fisberg, Regina/Q-6494-2019; Gomez, Georgina/AAR-7272-2020; Barco Leme, Ana Carolina/H-3619-2015; Liria-Dominguez, Reyna/F-1233-2018; Ferrari, Gerson/P-1152-2014</t>
  </si>
  <si>
    <t>Cortes, Lilia Yadira/0000-0003-2789-3219; Barco Leme, Ana Carolina/0000-0003-2782-4301; Kovalskys, Irina/0000-0001-8481-5415; Gomez, Georgina/0000-0003-3514-2984; Liria-Dominguez, Reyna/0000-0002-5637-1519; Ferrari, Gerson/0000-0003-3177-6576; Yepez, Martha Cecilia/0000-0003-4119-238X</t>
  </si>
  <si>
    <t>10.3390/nu13072404</t>
  </si>
  <si>
    <t>WOS:000676526200001</t>
  </si>
  <si>
    <t>Seron, P; Oliveros, MJ; Gutierrez-Arias, R; Fuentes-Aspe, R; Torres-Castro, RC; Merino-Osorio, C; Nahuelhual, P; Inostroza, J; Jalil, Y; Solano, R; Marzuca-Nassr, GN; Aguilera-Eguía, R; Lavados-Romo, P; Soto-Rodríguez, FJ; Sabelle, C; Villarroel-Silva, G; Gomolán, P; Huaiquilaf, S; Sanchez, P</t>
  </si>
  <si>
    <t>Seron, Pamela; Oliveros, Maria-Jose; Gutierrez-Arias, Ruvistay; Fuentes-Aspe, Rocio; Torres-Castro, Rodrigo C.; Merino-Osorio, Catalina; Nahuelhual, Paula; Inostroza, Jacqueline; Jalil, Yorschua; Solano, Ricardo; Marzuca-Nassr, Gabriel N.; Aguilera-Eguia, Raul; Lavados-Romo, Pamela; Soto-Rodriguez, Francisco J.; Sabelle, Cecilia; Villarroel-Silva, Gregory; Gomolan, Patricio; Huaiquilaf, Sayen; Sanchez, Paulina</t>
  </si>
  <si>
    <t>Effectiveness of Telerehabilitation in Physical Therapy: A Rapid Overview</t>
  </si>
  <si>
    <t>PHYSICAL THERAPY</t>
  </si>
  <si>
    <t>Objective. The purpose of this article was to summarize the available evidence from systematic reviews on telerehabilitation in physical therapy. Methods. We searched Medline/PubMed, EMBASE, and Cochrane Library databases. In addition, the records in PROSPERO and Epistemonikos and PEDro were consulted. Systematic reviews of different conditions, populations, and contexts where the intervention to be evaluated is telerehabilitation by physical therapy-were included. The outcomes were clinical effectiveness depending on specific condition, functionality, quality of life, satisfaction, adherence, and safety. Data extraction and risk of bias assessment were carried out by a reviewer with non-independent verification by a second reviewer. The findings are reported qualitatively in the tables and figures. Results. Fifty-three systematic reviews were included, of which 17 were assessed as having low risk of bias. Fifteen reviews were on cardiorespiratory rehabilitation, 14 on musculoskeletal conditions, and 13 on neurorehabilitation. The other 11 reviews addressed other types of conditions and rehabilitation. Thirteen reviews evaluated with low risk of bias showed results in favor of telerehabilitation versus in-person rehabilitation or no rehabilitation, while 17 reported no differences between the groups. Thirty-five reviews with unclear or high risk of bias showed mixed results. Conclusions. Despite the contradictory results, telerehabilitation in physical therapy could be comparable with in-person rehabilitation or better than no rehabilitation for conditions such as osteoarthritis, low-back pain, hip and knee replacement, and multiple sclerosis and also in the context of cardiac and pulmonary rehabilitation. It is imperative to conduct better quality clinical trials and systematic reviews. Impact. Providing the best available evidence on the effectiveness of telerehabilitation to professionals, mainly physical therapists, will impact the decision-making process and therefore yield better clinical outcomes for patients, both in these times of the COVID-19 pandemic and in the future. The identification of research gaps will also contribute to the generation of relevant and novel research questions.</t>
  </si>
  <si>
    <t>Villarroel-Silva, Gregory/HSF-7898-2023; Fuentes-Aspe, Rocio/LEM-8034-2024; Seron, Pamela/AAN-3304-2021; Aguilera, Raúl/M-1280-2019; Marzuca-Nassr, Gabriel/S-5901-2019; Gutierrez, Ruvistay/AAY-5754-2020; Torres-Castro, Rodrigo/E-3630-2014</t>
  </si>
  <si>
    <t>Sabelle Garces, Cecilia/0009-0000-5022-9397; Jalil Contreras, Yorschua Frederick/0000-0002-4993-7158; Torres-Castro, Rodrigo/0000-0001-7974-4333; Fuentes, Rocio/0000-0002-6463-0963; Seron, Pamela/0000-0003-0190-8988; Gutierrez-Arias, Ruvistay/0000-0003-1881-9316; Villarroel, Gregory/0000-0001-7500-1858</t>
  </si>
  <si>
    <t>0031-9023</t>
  </si>
  <si>
    <t>1538-6724</t>
  </si>
  <si>
    <t>pzab053</t>
  </si>
  <si>
    <t>10.1093/ptj/pzab053</t>
  </si>
  <si>
    <t>WOS:000732786500006</t>
  </si>
  <si>
    <t>O'Doherty, JE; Shokur, S; Medina, LE; Lebedev, MA; Nicolelis, MAL</t>
  </si>
  <si>
    <t>O'Doherty, Joseph E.; Shokur, Solaiman; Medina, Leonel E.; Lebedev, Mikhail A.; Nicolelis, Miguel A. L.</t>
  </si>
  <si>
    <t>Creating a neuroprosthesis for active tactile exploration of textures</t>
  </si>
  <si>
    <t>Intracortical microstimulation (ICMS) of the primary somatosensory cortex (S1) can produce percepts that mimic somatic sensation and, thus, has potential as an approach to sensorize prosthetic limbs. However, it is not known whether ICMS could recreate active texture exploration-the ability to infer information about object texture by using one's fingertips to scan a surface. Here, we show that ICMS of S1 can convey information about the spatial frequencies of invisible virtual gratings through a process of active tactile exploration. Two rhesus monkeys scanned pairs of visually identical screen objects with the fingertip of a hand avatar-controlled first via a joystick and later via a brain-machine interface-to find the object with denser virtual gratings. The gratings consisted of evenly spaced ridges that were signaled through individual ICMS pulses generated whenever the avatar's fingertip crossed a ridge. The monkeys learned to interpret these ICMS patterns, evoked by the interplay of their voluntary movements and the virtual textures of each object, to perform a sensory discrimination task. Discrimination accuracy followed Weber's law of just-noticeable differences (JND) across a range of grating densities; a finding that matches normal cutaneous sensation. Moreover, 1 monkey developed an active scanning strategy where avatar velocity was integrated with the ICMS pulses to interpret the texture information. We propose that this approach could equip upper-limb neuroprostheses with direct access to texture features acquired during active exploration of natural objects.</t>
  </si>
  <si>
    <t>Lebedev, Mikhail/H-5066-2016; O'Doherty, Joseph/D-5116-2009; Medina, Leonel E/AAE-2173-2019</t>
  </si>
  <si>
    <t>Lebedev, Mikhail/0000-0003-0355-8723; O'Doherty, Joseph/0000-0001-8175-5699; Medina, Leonel E/0000-0002-4170-9281; Lebedev, Mikhail/0000-0002-7457-837X; Shokur, Solaiman/0000-0003-2251-7142</t>
  </si>
  <si>
    <t>10.1073/pnas.1908008116</t>
  </si>
  <si>
    <t>WOS:000491366700067</t>
  </si>
  <si>
    <t>Khalid, HM; Rafique, Z; Muyeen, SM; Raqeeb, A; Said, Z; Saidur, R; Sopian, K</t>
  </si>
  <si>
    <t>Khalid, Haris M.; Rafique, Zimran; Muyeen, S. M.; Raqeeb, Abdul; Said, Zafar; Saidur, R.; Sopian, Kamaruzzaman</t>
  </si>
  <si>
    <t>Dust accumulation and aggregation on PV panels: An integrated survey on impacts, mathematical models, cleaning mechanisms, and possible sustainable solution (vol 251, pg.no 261, 2023)</t>
  </si>
  <si>
    <t>SOLAR ENERGY</t>
  </si>
  <si>
    <t>Rahman, Md saidur/HHY-9727-2022; Muyeen, S M/GQA-7738-2022; Sopian, Kamaruzzaman/A-3850-2009; Khalid, Haris M./T-5118-2017; Said Khan, Zafar/C-4086-2016</t>
  </si>
  <si>
    <t>0038-092X</t>
  </si>
  <si>
    <t>1471-1257</t>
  </si>
  <si>
    <t>10.1016/j.solener.2023.05.036</t>
  </si>
  <si>
    <t>WOS:001012615500001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</si>
</sst>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79</v>
      </c>
      <c r="AB2" s="1" t="s">
        <v>80</v>
      </c>
      <c r="AC2" s="1" t="s">
        <v>74</v>
      </c>
      <c r="AD2" s="1" t="s">
        <v>74</v>
      </c>
      <c r="AE2" s="1" t="s">
        <v>74</v>
      </c>
      <c r="AF2" s="1" t="s">
        <v>74</v>
      </c>
      <c r="AG2" s="1" t="s">
        <v>74</v>
      </c>
      <c r="AH2" s="1" t="s">
        <v>74</v>
      </c>
      <c r="AI2" s="1" t="s">
        <v>74</v>
      </c>
      <c r="AJ2" s="1" t="s">
        <v>74</v>
      </c>
      <c r="AK2" s="1" t="s">
        <v>74</v>
      </c>
      <c r="AL2" s="1" t="s">
        <v>74</v>
      </c>
      <c r="AM2" s="1" t="s">
        <v>74</v>
      </c>
      <c r="AN2" s="1" t="s">
        <v>74</v>
      </c>
      <c r="AO2" s="1" t="s">
        <v>81</v>
      </c>
      <c r="AP2" s="1" t="s">
        <v>74</v>
      </c>
      <c r="AQ2" s="1" t="s">
        <v>74</v>
      </c>
      <c r="AR2" s="1" t="s">
        <v>74</v>
      </c>
      <c r="AS2" s="1" t="s">
        <v>74</v>
      </c>
      <c r="AT2" s="1" t="s">
        <v>82</v>
      </c>
      <c r="AU2" s="1">
        <v>2022.0</v>
      </c>
      <c r="AV2" s="1">
        <v>15.0</v>
      </c>
      <c r="AW2" s="1" t="s">
        <v>74</v>
      </c>
      <c r="AX2" s="1" t="s">
        <v>74</v>
      </c>
      <c r="AY2" s="1" t="s">
        <v>74</v>
      </c>
      <c r="AZ2" s="1" t="s">
        <v>74</v>
      </c>
      <c r="BA2" s="1" t="s">
        <v>74</v>
      </c>
      <c r="BB2" s="1" t="s">
        <v>74</v>
      </c>
      <c r="BC2" s="1" t="s">
        <v>74</v>
      </c>
      <c r="BD2" s="1">
        <v>868583.0</v>
      </c>
      <c r="BE2" s="1" t="s">
        <v>83</v>
      </c>
      <c r="BF2" s="2" t="str">
        <f>HYPERLINK("http://dx.doi.org/10.3389/fnmol.2022.868583","http://dx.doi.org/10.3389/fnmol.2022.868583")</f>
        <v>http://dx.doi.org/10.3389/fnmol.2022.868583</v>
      </c>
      <c r="BG2" s="1" t="s">
        <v>74</v>
      </c>
      <c r="BH2" s="1" t="s">
        <v>74</v>
      </c>
      <c r="BI2" s="1" t="s">
        <v>74</v>
      </c>
      <c r="BJ2" s="1" t="s">
        <v>74</v>
      </c>
      <c r="BK2" s="1" t="s">
        <v>74</v>
      </c>
      <c r="BL2" s="1" t="s">
        <v>74</v>
      </c>
      <c r="BM2" s="1" t="s">
        <v>74</v>
      </c>
      <c r="BN2" s="1">
        <v>3.614721E7</v>
      </c>
      <c r="BO2" s="1" t="s">
        <v>74</v>
      </c>
      <c r="BP2" s="1" t="s">
        <v>74</v>
      </c>
      <c r="BQ2" s="1" t="s">
        <v>74</v>
      </c>
      <c r="BR2" s="1" t="s">
        <v>74</v>
      </c>
      <c r="BS2" s="1" t="s">
        <v>84</v>
      </c>
      <c r="BT2" s="1" t="str">
        <f>HYPERLINK("https%3A%2F%2Fwww.webofscience.com%2Fwos%2Fwoscc%2Ffull-record%2FWOS:000860119800001","View Full Record in Web of Science")</f>
        <v>View Full Record in Web of Science</v>
      </c>
    </row>
    <row r="3" ht="12.75" customHeight="1">
      <c r="A3" s="1" t="s">
        <v>72</v>
      </c>
      <c r="B3" s="1" t="s">
        <v>85</v>
      </c>
      <c r="C3" s="1" t="s">
        <v>74</v>
      </c>
      <c r="D3" s="1" t="s">
        <v>74</v>
      </c>
      <c r="E3" s="1" t="s">
        <v>74</v>
      </c>
      <c r="F3" s="1" t="s">
        <v>86</v>
      </c>
      <c r="G3" s="1" t="s">
        <v>74</v>
      </c>
      <c r="H3" s="1" t="s">
        <v>74</v>
      </c>
      <c r="I3" s="1" t="s">
        <v>87</v>
      </c>
      <c r="J3" s="1" t="s">
        <v>88</v>
      </c>
      <c r="K3" s="1" t="s">
        <v>74</v>
      </c>
      <c r="L3" s="1" t="s">
        <v>74</v>
      </c>
      <c r="M3" s="1" t="s">
        <v>74</v>
      </c>
      <c r="N3" s="1" t="s">
        <v>74</v>
      </c>
      <c r="O3" s="1" t="s">
        <v>74</v>
      </c>
      <c r="P3" s="1" t="s">
        <v>74</v>
      </c>
      <c r="Q3" s="1" t="s">
        <v>74</v>
      </c>
      <c r="R3" s="1" t="s">
        <v>74</v>
      </c>
      <c r="S3" s="1" t="s">
        <v>74</v>
      </c>
      <c r="T3" s="1" t="s">
        <v>74</v>
      </c>
      <c r="U3" s="1" t="s">
        <v>74</v>
      </c>
      <c r="V3" s="1" t="s">
        <v>89</v>
      </c>
      <c r="W3" s="1" t="s">
        <v>74</v>
      </c>
      <c r="X3" s="1" t="s">
        <v>74</v>
      </c>
      <c r="Y3" s="1" t="s">
        <v>74</v>
      </c>
      <c r="Z3" s="1" t="s">
        <v>74</v>
      </c>
      <c r="AA3" s="1" t="s">
        <v>90</v>
      </c>
      <c r="AB3" s="1" t="s">
        <v>91</v>
      </c>
      <c r="AC3" s="1" t="s">
        <v>74</v>
      </c>
      <c r="AD3" s="1" t="s">
        <v>74</v>
      </c>
      <c r="AE3" s="1" t="s">
        <v>74</v>
      </c>
      <c r="AF3" s="1" t="s">
        <v>74</v>
      </c>
      <c r="AG3" s="1" t="s">
        <v>74</v>
      </c>
      <c r="AH3" s="1" t="s">
        <v>74</v>
      </c>
      <c r="AI3" s="1" t="s">
        <v>74</v>
      </c>
      <c r="AJ3" s="1" t="s">
        <v>74</v>
      </c>
      <c r="AK3" s="1" t="s">
        <v>74</v>
      </c>
      <c r="AL3" s="1" t="s">
        <v>74</v>
      </c>
      <c r="AM3" s="1" t="s">
        <v>74</v>
      </c>
      <c r="AN3" s="1" t="s">
        <v>74</v>
      </c>
      <c r="AO3" s="1" t="s">
        <v>92</v>
      </c>
      <c r="AP3" s="1" t="s">
        <v>93</v>
      </c>
      <c r="AQ3" s="1" t="s">
        <v>74</v>
      </c>
      <c r="AR3" s="1" t="s">
        <v>74</v>
      </c>
      <c r="AS3" s="1" t="s">
        <v>74</v>
      </c>
      <c r="AT3" s="1" t="s">
        <v>94</v>
      </c>
      <c r="AU3" s="1">
        <v>2021.0</v>
      </c>
      <c r="AV3" s="1">
        <v>10.0</v>
      </c>
      <c r="AW3" s="1">
        <v>6.0</v>
      </c>
      <c r="AX3" s="1" t="s">
        <v>74</v>
      </c>
      <c r="AY3" s="1" t="s">
        <v>74</v>
      </c>
      <c r="AZ3" s="1" t="s">
        <v>74</v>
      </c>
      <c r="BA3" s="1" t="s">
        <v>74</v>
      </c>
      <c r="BB3" s="1">
        <v>609.0</v>
      </c>
      <c r="BC3" s="1">
        <v>619.0</v>
      </c>
      <c r="BD3" s="1" t="s">
        <v>74</v>
      </c>
      <c r="BE3" s="1" t="s">
        <v>95</v>
      </c>
      <c r="BF3" s="2" t="str">
        <f>HYPERLINK("http://dx.doi.org/10.1016/j.jshs.2021.06.004","http://dx.doi.org/10.1016/j.jshs.2021.06.004")</f>
        <v>http://dx.doi.org/10.1016/j.jshs.2021.06.004</v>
      </c>
      <c r="BG3" s="1" t="s">
        <v>74</v>
      </c>
      <c r="BH3" s="1" t="s">
        <v>96</v>
      </c>
      <c r="BI3" s="1" t="s">
        <v>74</v>
      </c>
      <c r="BJ3" s="1" t="s">
        <v>74</v>
      </c>
      <c r="BK3" s="1" t="s">
        <v>74</v>
      </c>
      <c r="BL3" s="1" t="s">
        <v>74</v>
      </c>
      <c r="BM3" s="1" t="s">
        <v>74</v>
      </c>
      <c r="BN3" s="1">
        <v>3.4198003E7</v>
      </c>
      <c r="BO3" s="1" t="s">
        <v>74</v>
      </c>
      <c r="BP3" s="1" t="s">
        <v>74</v>
      </c>
      <c r="BQ3" s="1" t="s">
        <v>74</v>
      </c>
      <c r="BR3" s="1" t="s">
        <v>74</v>
      </c>
      <c r="BS3" s="1" t="s">
        <v>97</v>
      </c>
      <c r="BT3" s="1" t="str">
        <f>HYPERLINK("https%3A%2F%2Fwww.webofscience.com%2Fwos%2Fwoscc%2Ffull-record%2FWOS:000734460600002","View Full Record in Web of Science")</f>
        <v>View Full Record in Web of Science</v>
      </c>
    </row>
    <row r="4" ht="12.75" customHeight="1">
      <c r="A4" s="1" t="s">
        <v>72</v>
      </c>
      <c r="B4" s="1" t="s">
        <v>98</v>
      </c>
      <c r="C4" s="1" t="s">
        <v>74</v>
      </c>
      <c r="D4" s="1" t="s">
        <v>74</v>
      </c>
      <c r="E4" s="1" t="s">
        <v>74</v>
      </c>
      <c r="F4" s="1" t="s">
        <v>99</v>
      </c>
      <c r="G4" s="1" t="s">
        <v>74</v>
      </c>
      <c r="H4" s="1" t="s">
        <v>74</v>
      </c>
      <c r="I4" s="1" t="s">
        <v>100</v>
      </c>
      <c r="J4" s="1" t="s">
        <v>101</v>
      </c>
      <c r="K4" s="1" t="s">
        <v>74</v>
      </c>
      <c r="L4" s="1" t="s">
        <v>74</v>
      </c>
      <c r="M4" s="1" t="s">
        <v>74</v>
      </c>
      <c r="N4" s="1" t="s">
        <v>74</v>
      </c>
      <c r="O4" s="1" t="s">
        <v>74</v>
      </c>
      <c r="P4" s="1" t="s">
        <v>74</v>
      </c>
      <c r="Q4" s="1" t="s">
        <v>74</v>
      </c>
      <c r="R4" s="1" t="s">
        <v>74</v>
      </c>
      <c r="S4" s="1" t="s">
        <v>74</v>
      </c>
      <c r="T4" s="1" t="s">
        <v>74</v>
      </c>
      <c r="U4" s="1" t="s">
        <v>74</v>
      </c>
      <c r="V4" s="1" t="s">
        <v>102</v>
      </c>
      <c r="W4" s="1" t="s">
        <v>74</v>
      </c>
      <c r="X4" s="1" t="s">
        <v>74</v>
      </c>
      <c r="Y4" s="1" t="s">
        <v>74</v>
      </c>
      <c r="Z4" s="1" t="s">
        <v>74</v>
      </c>
      <c r="AA4" s="1" t="s">
        <v>103</v>
      </c>
      <c r="AB4" s="1" t="s">
        <v>104</v>
      </c>
      <c r="AC4" s="1" t="s">
        <v>74</v>
      </c>
      <c r="AD4" s="1" t="s">
        <v>74</v>
      </c>
      <c r="AE4" s="1" t="s">
        <v>74</v>
      </c>
      <c r="AF4" s="1" t="s">
        <v>74</v>
      </c>
      <c r="AG4" s="1" t="s">
        <v>74</v>
      </c>
      <c r="AH4" s="1" t="s">
        <v>74</v>
      </c>
      <c r="AI4" s="1" t="s">
        <v>74</v>
      </c>
      <c r="AJ4" s="1" t="s">
        <v>74</v>
      </c>
      <c r="AK4" s="1" t="s">
        <v>74</v>
      </c>
      <c r="AL4" s="1" t="s">
        <v>74</v>
      </c>
      <c r="AM4" s="1" t="s">
        <v>74</v>
      </c>
      <c r="AN4" s="1" t="s">
        <v>74</v>
      </c>
      <c r="AO4" s="1" t="s">
        <v>74</v>
      </c>
      <c r="AP4" s="1" t="s">
        <v>105</v>
      </c>
      <c r="AQ4" s="1" t="s">
        <v>74</v>
      </c>
      <c r="AR4" s="1" t="s">
        <v>74</v>
      </c>
      <c r="AS4" s="1" t="s">
        <v>74</v>
      </c>
      <c r="AT4" s="1" t="s">
        <v>106</v>
      </c>
      <c r="AU4" s="1">
        <v>2020.0</v>
      </c>
      <c r="AV4" s="1">
        <v>25.0</v>
      </c>
      <c r="AW4" s="1">
        <v>22.0</v>
      </c>
      <c r="AX4" s="1" t="s">
        <v>74</v>
      </c>
      <c r="AY4" s="1" t="s">
        <v>74</v>
      </c>
      <c r="AZ4" s="1" t="s">
        <v>74</v>
      </c>
      <c r="BA4" s="1" t="s">
        <v>74</v>
      </c>
      <c r="BB4" s="1" t="s">
        <v>74</v>
      </c>
      <c r="BC4" s="1" t="s">
        <v>74</v>
      </c>
      <c r="BD4" s="1">
        <v>5310.0</v>
      </c>
      <c r="BE4" s="1" t="s">
        <v>107</v>
      </c>
      <c r="BF4" s="2" t="str">
        <f>HYPERLINK("http://dx.doi.org/10.3390/molecules25225310","http://dx.doi.org/10.3390/molecules25225310")</f>
        <v>http://dx.doi.org/10.3390/molecules25225310</v>
      </c>
      <c r="BG4" s="1" t="s">
        <v>74</v>
      </c>
      <c r="BH4" s="1" t="s">
        <v>74</v>
      </c>
      <c r="BI4" s="1" t="s">
        <v>74</v>
      </c>
      <c r="BJ4" s="1" t="s">
        <v>74</v>
      </c>
      <c r="BK4" s="1" t="s">
        <v>74</v>
      </c>
      <c r="BL4" s="1" t="s">
        <v>74</v>
      </c>
      <c r="BM4" s="1" t="s">
        <v>74</v>
      </c>
      <c r="BN4" s="1">
        <v>3.3203055E7</v>
      </c>
      <c r="BO4" s="1" t="s">
        <v>74</v>
      </c>
      <c r="BP4" s="1" t="s">
        <v>74</v>
      </c>
      <c r="BQ4" s="1" t="s">
        <v>74</v>
      </c>
      <c r="BR4" s="1" t="s">
        <v>74</v>
      </c>
      <c r="BS4" s="1" t="s">
        <v>108</v>
      </c>
      <c r="BT4" s="1" t="str">
        <f>HYPERLINK("https%3A%2F%2Fwww.webofscience.com%2Fwos%2Fwoscc%2Ffull-record%2FWOS:000594715400001","View Full Record in Web of Science")</f>
        <v>View Full Record in Web of Science</v>
      </c>
    </row>
    <row r="5" ht="12.75" customHeight="1">
      <c r="A5" s="1" t="s">
        <v>72</v>
      </c>
      <c r="B5" s="1" t="s">
        <v>109</v>
      </c>
      <c r="C5" s="1" t="s">
        <v>74</v>
      </c>
      <c r="D5" s="1" t="s">
        <v>74</v>
      </c>
      <c r="E5" s="1" t="s">
        <v>74</v>
      </c>
      <c r="F5" s="1" t="s">
        <v>110</v>
      </c>
      <c r="G5" s="1" t="s">
        <v>74</v>
      </c>
      <c r="H5" s="1" t="s">
        <v>74</v>
      </c>
      <c r="I5" s="1" t="s">
        <v>111</v>
      </c>
      <c r="J5" s="1" t="s">
        <v>112</v>
      </c>
      <c r="K5" s="1" t="s">
        <v>74</v>
      </c>
      <c r="L5" s="1" t="s">
        <v>74</v>
      </c>
      <c r="M5" s="1" t="s">
        <v>74</v>
      </c>
      <c r="N5" s="1" t="s">
        <v>74</v>
      </c>
      <c r="O5" s="1" t="s">
        <v>74</v>
      </c>
      <c r="P5" s="1" t="s">
        <v>74</v>
      </c>
      <c r="Q5" s="1" t="s">
        <v>74</v>
      </c>
      <c r="R5" s="1" t="s">
        <v>74</v>
      </c>
      <c r="S5" s="1" t="s">
        <v>74</v>
      </c>
      <c r="T5" s="1" t="s">
        <v>74</v>
      </c>
      <c r="U5" s="1" t="s">
        <v>74</v>
      </c>
      <c r="V5" s="1" t="s">
        <v>113</v>
      </c>
      <c r="W5" s="1" t="s">
        <v>74</v>
      </c>
      <c r="X5" s="1" t="s">
        <v>74</v>
      </c>
      <c r="Y5" s="1" t="s">
        <v>74</v>
      </c>
      <c r="Z5" s="1" t="s">
        <v>74</v>
      </c>
      <c r="AA5" s="1" t="s">
        <v>114</v>
      </c>
      <c r="AB5" s="1" t="s">
        <v>115</v>
      </c>
      <c r="AC5" s="1" t="s">
        <v>74</v>
      </c>
      <c r="AD5" s="1" t="s">
        <v>74</v>
      </c>
      <c r="AE5" s="1" t="s">
        <v>74</v>
      </c>
      <c r="AF5" s="1" t="s">
        <v>74</v>
      </c>
      <c r="AG5" s="1" t="s">
        <v>74</v>
      </c>
      <c r="AH5" s="1" t="s">
        <v>74</v>
      </c>
      <c r="AI5" s="1" t="s">
        <v>74</v>
      </c>
      <c r="AJ5" s="1" t="s">
        <v>74</v>
      </c>
      <c r="AK5" s="1" t="s">
        <v>74</v>
      </c>
      <c r="AL5" s="1" t="s">
        <v>74</v>
      </c>
      <c r="AM5" s="1" t="s">
        <v>74</v>
      </c>
      <c r="AN5" s="1" t="s">
        <v>74</v>
      </c>
      <c r="AO5" s="1" t="s">
        <v>116</v>
      </c>
      <c r="AP5" s="1" t="s">
        <v>117</v>
      </c>
      <c r="AQ5" s="1" t="s">
        <v>74</v>
      </c>
      <c r="AR5" s="1" t="s">
        <v>74</v>
      </c>
      <c r="AS5" s="1" t="s">
        <v>74</v>
      </c>
      <c r="AT5" s="1" t="s">
        <v>118</v>
      </c>
      <c r="AU5" s="1">
        <v>2016.0</v>
      </c>
      <c r="AV5" s="1">
        <v>102.0</v>
      </c>
      <c r="AW5" s="1" t="s">
        <v>74</v>
      </c>
      <c r="AX5" s="1" t="s">
        <v>74</v>
      </c>
      <c r="AY5" s="1" t="s">
        <v>74</v>
      </c>
      <c r="AZ5" s="1" t="s">
        <v>74</v>
      </c>
      <c r="BA5" s="1" t="s">
        <v>74</v>
      </c>
      <c r="BB5" s="1">
        <v>1.0</v>
      </c>
      <c r="BC5" s="1">
        <v>8.0</v>
      </c>
      <c r="BD5" s="1" t="s">
        <v>74</v>
      </c>
      <c r="BE5" s="1" t="s">
        <v>119</v>
      </c>
      <c r="BF5" s="2" t="str">
        <f>HYPERLINK("http://dx.doi.org/10.1016/j.compositesb.2016.06.070","http://dx.doi.org/10.1016/j.compositesb.2016.06.070")</f>
        <v>http://dx.doi.org/10.1016/j.compositesb.2016.06.070</v>
      </c>
      <c r="BG5" s="1" t="s">
        <v>74</v>
      </c>
      <c r="BH5" s="1" t="s">
        <v>74</v>
      </c>
      <c r="BI5" s="1" t="s">
        <v>74</v>
      </c>
      <c r="BJ5" s="1" t="s">
        <v>74</v>
      </c>
      <c r="BK5" s="1" t="s">
        <v>74</v>
      </c>
      <c r="BL5" s="1" t="s">
        <v>74</v>
      </c>
      <c r="BM5" s="1" t="s">
        <v>74</v>
      </c>
      <c r="BN5" s="1" t="s">
        <v>74</v>
      </c>
      <c r="BO5" s="1" t="s">
        <v>74</v>
      </c>
      <c r="BP5" s="1" t="s">
        <v>74</v>
      </c>
      <c r="BQ5" s="1" t="s">
        <v>74</v>
      </c>
      <c r="BR5" s="1" t="s">
        <v>74</v>
      </c>
      <c r="BS5" s="1" t="s">
        <v>120</v>
      </c>
      <c r="BT5" s="1" t="str">
        <f>HYPERLINK("https%3A%2F%2Fwww.webofscience.com%2Fwos%2Fwoscc%2Ffull-record%2FWOS:000383006600001","View Full Record in Web of Science")</f>
        <v>View Full Record in Web of Science</v>
      </c>
    </row>
    <row r="6" ht="12.75" customHeight="1">
      <c r="A6" s="1" t="s">
        <v>72</v>
      </c>
      <c r="B6" s="1" t="s">
        <v>121</v>
      </c>
      <c r="C6" s="1" t="s">
        <v>74</v>
      </c>
      <c r="D6" s="1" t="s">
        <v>74</v>
      </c>
      <c r="E6" s="1" t="s">
        <v>74</v>
      </c>
      <c r="F6" s="1" t="s">
        <v>122</v>
      </c>
      <c r="G6" s="1" t="s">
        <v>74</v>
      </c>
      <c r="H6" s="1" t="s">
        <v>74</v>
      </c>
      <c r="I6" s="1" t="s">
        <v>123</v>
      </c>
      <c r="J6" s="1" t="s">
        <v>124</v>
      </c>
      <c r="K6" s="1" t="s">
        <v>74</v>
      </c>
      <c r="L6" s="1" t="s">
        <v>74</v>
      </c>
      <c r="M6" s="1" t="s">
        <v>74</v>
      </c>
      <c r="N6" s="1" t="s">
        <v>74</v>
      </c>
      <c r="O6" s="1" t="s">
        <v>74</v>
      </c>
      <c r="P6" s="1" t="s">
        <v>74</v>
      </c>
      <c r="Q6" s="1" t="s">
        <v>74</v>
      </c>
      <c r="R6" s="1" t="s">
        <v>74</v>
      </c>
      <c r="S6" s="1" t="s">
        <v>74</v>
      </c>
      <c r="T6" s="1" t="s">
        <v>74</v>
      </c>
      <c r="U6" s="1" t="s">
        <v>74</v>
      </c>
      <c r="V6" s="1" t="s">
        <v>125</v>
      </c>
      <c r="W6" s="1" t="s">
        <v>74</v>
      </c>
      <c r="X6" s="1" t="s">
        <v>74</v>
      </c>
      <c r="Y6" s="1" t="s">
        <v>74</v>
      </c>
      <c r="Z6" s="1" t="s">
        <v>74</v>
      </c>
      <c r="AA6" s="1" t="s">
        <v>126</v>
      </c>
      <c r="AB6" s="1" t="s">
        <v>127</v>
      </c>
      <c r="AC6" s="1" t="s">
        <v>74</v>
      </c>
      <c r="AD6" s="1" t="s">
        <v>74</v>
      </c>
      <c r="AE6" s="1" t="s">
        <v>74</v>
      </c>
      <c r="AF6" s="1" t="s">
        <v>74</v>
      </c>
      <c r="AG6" s="1" t="s">
        <v>74</v>
      </c>
      <c r="AH6" s="1" t="s">
        <v>74</v>
      </c>
      <c r="AI6" s="1" t="s">
        <v>74</v>
      </c>
      <c r="AJ6" s="1" t="s">
        <v>74</v>
      </c>
      <c r="AK6" s="1" t="s">
        <v>74</v>
      </c>
      <c r="AL6" s="1" t="s">
        <v>74</v>
      </c>
      <c r="AM6" s="1" t="s">
        <v>74</v>
      </c>
      <c r="AN6" s="1" t="s">
        <v>74</v>
      </c>
      <c r="AO6" s="1" t="s">
        <v>128</v>
      </c>
      <c r="AP6" s="1" t="s">
        <v>129</v>
      </c>
      <c r="AQ6" s="1" t="s">
        <v>74</v>
      </c>
      <c r="AR6" s="1" t="s">
        <v>74</v>
      </c>
      <c r="AS6" s="1" t="s">
        <v>74</v>
      </c>
      <c r="AT6" s="1" t="s">
        <v>130</v>
      </c>
      <c r="AU6" s="1">
        <v>2013.0</v>
      </c>
      <c r="AV6" s="1">
        <v>92.0</v>
      </c>
      <c r="AW6" s="1" t="s">
        <v>74</v>
      </c>
      <c r="AX6" s="1" t="s">
        <v>74</v>
      </c>
      <c r="AY6" s="1" t="s">
        <v>74</v>
      </c>
      <c r="AZ6" s="1" t="s">
        <v>74</v>
      </c>
      <c r="BA6" s="1" t="s">
        <v>74</v>
      </c>
      <c r="BB6" s="1">
        <v>413.0</v>
      </c>
      <c r="BC6" s="1">
        <v>416.0</v>
      </c>
      <c r="BD6" s="1" t="s">
        <v>74</v>
      </c>
      <c r="BE6" s="1" t="s">
        <v>131</v>
      </c>
      <c r="BF6" s="2" t="str">
        <f>HYPERLINK("http://dx.doi.org/10.1016/j.matlet.2012.11.012","http://dx.doi.org/10.1016/j.matlet.2012.11.012")</f>
        <v>http://dx.doi.org/10.1016/j.matlet.2012.11.012</v>
      </c>
      <c r="BG6" s="1" t="s">
        <v>74</v>
      </c>
      <c r="BH6" s="1" t="s">
        <v>74</v>
      </c>
      <c r="BI6" s="1" t="s">
        <v>74</v>
      </c>
      <c r="BJ6" s="1" t="s">
        <v>74</v>
      </c>
      <c r="BK6" s="1" t="s">
        <v>74</v>
      </c>
      <c r="BL6" s="1" t="s">
        <v>74</v>
      </c>
      <c r="BM6" s="1" t="s">
        <v>74</v>
      </c>
      <c r="BN6" s="1" t="s">
        <v>74</v>
      </c>
      <c r="BO6" s="1" t="s">
        <v>74</v>
      </c>
      <c r="BP6" s="1" t="s">
        <v>74</v>
      </c>
      <c r="BQ6" s="1" t="s">
        <v>74</v>
      </c>
      <c r="BR6" s="1" t="s">
        <v>74</v>
      </c>
      <c r="BS6" s="1" t="s">
        <v>132</v>
      </c>
      <c r="BT6" s="1" t="str">
        <f>HYPERLINK("https%3A%2F%2Fwww.webofscience.com%2Fwos%2Fwoscc%2Ffull-record%2FWOS:000316033500112","View Full Record in Web of Science")</f>
        <v>View Full Record in Web of Science</v>
      </c>
    </row>
    <row r="7" ht="12.75" customHeight="1">
      <c r="A7" s="1" t="s">
        <v>72</v>
      </c>
      <c r="B7" s="1" t="s">
        <v>133</v>
      </c>
      <c r="C7" s="1" t="s">
        <v>74</v>
      </c>
      <c r="D7" s="1" t="s">
        <v>74</v>
      </c>
      <c r="E7" s="1" t="s">
        <v>74</v>
      </c>
      <c r="F7" s="1" t="s">
        <v>134</v>
      </c>
      <c r="G7" s="1" t="s">
        <v>74</v>
      </c>
      <c r="H7" s="1" t="s">
        <v>74</v>
      </c>
      <c r="I7" s="1" t="s">
        <v>135</v>
      </c>
      <c r="J7" s="1" t="s">
        <v>136</v>
      </c>
      <c r="K7" s="1" t="s">
        <v>74</v>
      </c>
      <c r="L7" s="1" t="s">
        <v>74</v>
      </c>
      <c r="M7" s="1" t="s">
        <v>74</v>
      </c>
      <c r="N7" s="1" t="s">
        <v>74</v>
      </c>
      <c r="O7" s="1" t="s">
        <v>74</v>
      </c>
      <c r="P7" s="1" t="s">
        <v>74</v>
      </c>
      <c r="Q7" s="1" t="s">
        <v>74</v>
      </c>
      <c r="R7" s="1" t="s">
        <v>74</v>
      </c>
      <c r="S7" s="1" t="s">
        <v>74</v>
      </c>
      <c r="T7" s="1" t="s">
        <v>74</v>
      </c>
      <c r="U7" s="1" t="s">
        <v>74</v>
      </c>
      <c r="V7" s="1" t="s">
        <v>137</v>
      </c>
      <c r="W7" s="1" t="s">
        <v>74</v>
      </c>
      <c r="X7" s="1" t="s">
        <v>74</v>
      </c>
      <c r="Y7" s="1" t="s">
        <v>74</v>
      </c>
      <c r="Z7" s="1" t="s">
        <v>74</v>
      </c>
      <c r="AA7" s="1" t="s">
        <v>138</v>
      </c>
      <c r="AB7" s="1" t="s">
        <v>139</v>
      </c>
      <c r="AC7" s="1" t="s">
        <v>74</v>
      </c>
      <c r="AD7" s="1" t="s">
        <v>74</v>
      </c>
      <c r="AE7" s="1" t="s">
        <v>74</v>
      </c>
      <c r="AF7" s="1" t="s">
        <v>74</v>
      </c>
      <c r="AG7" s="1" t="s">
        <v>74</v>
      </c>
      <c r="AH7" s="1" t="s">
        <v>74</v>
      </c>
      <c r="AI7" s="1" t="s">
        <v>74</v>
      </c>
      <c r="AJ7" s="1" t="s">
        <v>74</v>
      </c>
      <c r="AK7" s="1" t="s">
        <v>74</v>
      </c>
      <c r="AL7" s="1" t="s">
        <v>74</v>
      </c>
      <c r="AM7" s="1" t="s">
        <v>74</v>
      </c>
      <c r="AN7" s="1" t="s">
        <v>74</v>
      </c>
      <c r="AO7" s="1" t="s">
        <v>74</v>
      </c>
      <c r="AP7" s="1" t="s">
        <v>140</v>
      </c>
      <c r="AQ7" s="1" t="s">
        <v>74</v>
      </c>
      <c r="AR7" s="1" t="s">
        <v>74</v>
      </c>
      <c r="AS7" s="1" t="s">
        <v>74</v>
      </c>
      <c r="AT7" s="1" t="s">
        <v>141</v>
      </c>
      <c r="AU7" s="1">
        <v>2024.0</v>
      </c>
      <c r="AV7" s="1">
        <v>13.0</v>
      </c>
      <c r="AW7" s="1">
        <v>17.0</v>
      </c>
      <c r="AX7" s="1" t="s">
        <v>74</v>
      </c>
      <c r="AY7" s="1" t="s">
        <v>74</v>
      </c>
      <c r="AZ7" s="1" t="s">
        <v>74</v>
      </c>
      <c r="BA7" s="1" t="s">
        <v>74</v>
      </c>
      <c r="BB7" s="1" t="s">
        <v>74</v>
      </c>
      <c r="BC7" s="1" t="s">
        <v>74</v>
      </c>
      <c r="BD7" s="1">
        <v>4987.0</v>
      </c>
      <c r="BE7" s="1" t="s">
        <v>142</v>
      </c>
      <c r="BF7" s="2" t="str">
        <f>HYPERLINK("http://dx.doi.org/10.3390/jcm13174987","http://dx.doi.org/10.3390/jcm13174987")</f>
        <v>http://dx.doi.org/10.3390/jcm13174987</v>
      </c>
      <c r="BG7" s="1" t="s">
        <v>74</v>
      </c>
      <c r="BH7" s="1" t="s">
        <v>74</v>
      </c>
      <c r="BI7" s="1" t="s">
        <v>74</v>
      </c>
      <c r="BJ7" s="1" t="s">
        <v>74</v>
      </c>
      <c r="BK7" s="1" t="s">
        <v>74</v>
      </c>
      <c r="BL7" s="1" t="s">
        <v>74</v>
      </c>
      <c r="BM7" s="1" t="s">
        <v>74</v>
      </c>
      <c r="BN7" s="1">
        <v>3.9274198E7</v>
      </c>
      <c r="BO7" s="1" t="s">
        <v>74</v>
      </c>
      <c r="BP7" s="1" t="s">
        <v>74</v>
      </c>
      <c r="BQ7" s="1" t="s">
        <v>74</v>
      </c>
      <c r="BR7" s="1" t="s">
        <v>74</v>
      </c>
      <c r="BS7" s="1" t="s">
        <v>143</v>
      </c>
      <c r="BT7" s="1" t="str">
        <f>HYPERLINK("https%3A%2F%2Fwww.webofscience.com%2Fwos%2Fwoscc%2Ffull-record%2FWOS:001311105100001","View Full Record in Web of Science")</f>
        <v>View Full Record in Web of Science</v>
      </c>
    </row>
    <row r="8" ht="12.75" customHeight="1">
      <c r="A8" s="1" t="s">
        <v>72</v>
      </c>
      <c r="B8" s="1" t="s">
        <v>144</v>
      </c>
      <c r="C8" s="1" t="s">
        <v>74</v>
      </c>
      <c r="D8" s="1" t="s">
        <v>74</v>
      </c>
      <c r="E8" s="1" t="s">
        <v>74</v>
      </c>
      <c r="F8" s="1" t="s">
        <v>145</v>
      </c>
      <c r="G8" s="1" t="s">
        <v>74</v>
      </c>
      <c r="H8" s="1" t="s">
        <v>74</v>
      </c>
      <c r="I8" s="1" t="s">
        <v>146</v>
      </c>
      <c r="J8" s="1" t="s">
        <v>147</v>
      </c>
      <c r="K8" s="1" t="s">
        <v>74</v>
      </c>
      <c r="L8" s="1" t="s">
        <v>74</v>
      </c>
      <c r="M8" s="1" t="s">
        <v>74</v>
      </c>
      <c r="N8" s="1" t="s">
        <v>74</v>
      </c>
      <c r="O8" s="1" t="s">
        <v>74</v>
      </c>
      <c r="P8" s="1" t="s">
        <v>74</v>
      </c>
      <c r="Q8" s="1" t="s">
        <v>74</v>
      </c>
      <c r="R8" s="1" t="s">
        <v>74</v>
      </c>
      <c r="S8" s="1" t="s">
        <v>74</v>
      </c>
      <c r="T8" s="1" t="s">
        <v>74</v>
      </c>
      <c r="U8" s="1" t="s">
        <v>74</v>
      </c>
      <c r="V8" s="1" t="s">
        <v>148</v>
      </c>
      <c r="W8" s="1" t="s">
        <v>74</v>
      </c>
      <c r="X8" s="1" t="s">
        <v>74</v>
      </c>
      <c r="Y8" s="1" t="s">
        <v>74</v>
      </c>
      <c r="Z8" s="1" t="s">
        <v>74</v>
      </c>
      <c r="AA8" s="1" t="s">
        <v>149</v>
      </c>
      <c r="AB8" s="1" t="s">
        <v>150</v>
      </c>
      <c r="AC8" s="1" t="s">
        <v>74</v>
      </c>
      <c r="AD8" s="1" t="s">
        <v>74</v>
      </c>
      <c r="AE8" s="1" t="s">
        <v>74</v>
      </c>
      <c r="AF8" s="1" t="s">
        <v>74</v>
      </c>
      <c r="AG8" s="1" t="s">
        <v>74</v>
      </c>
      <c r="AH8" s="1" t="s">
        <v>74</v>
      </c>
      <c r="AI8" s="1" t="s">
        <v>74</v>
      </c>
      <c r="AJ8" s="1" t="s">
        <v>74</v>
      </c>
      <c r="AK8" s="1" t="s">
        <v>74</v>
      </c>
      <c r="AL8" s="1" t="s">
        <v>74</v>
      </c>
      <c r="AM8" s="1" t="s">
        <v>74</v>
      </c>
      <c r="AN8" s="1" t="s">
        <v>74</v>
      </c>
      <c r="AO8" s="1" t="s">
        <v>151</v>
      </c>
      <c r="AP8" s="1" t="s">
        <v>74</v>
      </c>
      <c r="AQ8" s="1" t="s">
        <v>74</v>
      </c>
      <c r="AR8" s="1" t="s">
        <v>74</v>
      </c>
      <c r="AS8" s="1" t="s">
        <v>74</v>
      </c>
      <c r="AT8" s="1" t="s">
        <v>152</v>
      </c>
      <c r="AU8" s="1">
        <v>2024.0</v>
      </c>
      <c r="AV8" s="1">
        <v>19.0</v>
      </c>
      <c r="AW8" s="1">
        <v>1.0</v>
      </c>
      <c r="AX8" s="1" t="s">
        <v>74</v>
      </c>
      <c r="AY8" s="1" t="s">
        <v>74</v>
      </c>
      <c r="AZ8" s="1" t="s">
        <v>74</v>
      </c>
      <c r="BA8" s="1" t="s">
        <v>74</v>
      </c>
      <c r="BB8" s="1" t="s">
        <v>74</v>
      </c>
      <c r="BC8" s="1" t="s">
        <v>74</v>
      </c>
      <c r="BD8" s="1" t="s">
        <v>153</v>
      </c>
      <c r="BE8" s="1" t="s">
        <v>154</v>
      </c>
      <c r="BF8" s="2" t="str">
        <f>HYPERLINK("http://dx.doi.org/10.1371/journal.pone.0297081","http://dx.doi.org/10.1371/journal.pone.0297081")</f>
        <v>http://dx.doi.org/10.1371/journal.pone.0297081</v>
      </c>
      <c r="BG8" s="1" t="s">
        <v>74</v>
      </c>
      <c r="BH8" s="1" t="s">
        <v>74</v>
      </c>
      <c r="BI8" s="1" t="s">
        <v>74</v>
      </c>
      <c r="BJ8" s="1" t="s">
        <v>74</v>
      </c>
      <c r="BK8" s="1" t="s">
        <v>74</v>
      </c>
      <c r="BL8" s="1" t="s">
        <v>74</v>
      </c>
      <c r="BM8" s="1" t="s">
        <v>74</v>
      </c>
      <c r="BN8" s="1">
        <v>3.8271448E7</v>
      </c>
      <c r="BO8" s="1" t="s">
        <v>74</v>
      </c>
      <c r="BP8" s="1" t="s">
        <v>74</v>
      </c>
      <c r="BQ8" s="1" t="s">
        <v>74</v>
      </c>
      <c r="BR8" s="1" t="s">
        <v>74</v>
      </c>
      <c r="BS8" s="1" t="s">
        <v>155</v>
      </c>
      <c r="BT8" s="1" t="str">
        <f>HYPERLINK("https%3A%2F%2Fwww.webofscience.com%2Fwos%2Fwoscc%2Ffull-record%2FWOS:001158471300068","View Full Record in Web of Science")</f>
        <v>View Full Record in Web of Science</v>
      </c>
    </row>
    <row r="9" ht="12.75" customHeight="1">
      <c r="A9" s="1" t="s">
        <v>72</v>
      </c>
      <c r="B9" s="1" t="s">
        <v>156</v>
      </c>
      <c r="C9" s="1" t="s">
        <v>74</v>
      </c>
      <c r="D9" s="1" t="s">
        <v>74</v>
      </c>
      <c r="E9" s="1" t="s">
        <v>74</v>
      </c>
      <c r="F9" s="1" t="s">
        <v>157</v>
      </c>
      <c r="G9" s="1" t="s">
        <v>74</v>
      </c>
      <c r="H9" s="1" t="s">
        <v>74</v>
      </c>
      <c r="I9" s="1" t="s">
        <v>158</v>
      </c>
      <c r="J9" s="1" t="s">
        <v>159</v>
      </c>
      <c r="K9" s="1" t="s">
        <v>74</v>
      </c>
      <c r="L9" s="1" t="s">
        <v>74</v>
      </c>
      <c r="M9" s="1" t="s">
        <v>74</v>
      </c>
      <c r="N9" s="1" t="s">
        <v>74</v>
      </c>
      <c r="O9" s="1" t="s">
        <v>74</v>
      </c>
      <c r="P9" s="1" t="s">
        <v>74</v>
      </c>
      <c r="Q9" s="1" t="s">
        <v>74</v>
      </c>
      <c r="R9" s="1" t="s">
        <v>74</v>
      </c>
      <c r="S9" s="1" t="s">
        <v>74</v>
      </c>
      <c r="T9" s="1" t="s">
        <v>74</v>
      </c>
      <c r="U9" s="1" t="s">
        <v>74</v>
      </c>
      <c r="V9" s="1" t="s">
        <v>160</v>
      </c>
      <c r="W9" s="1" t="s">
        <v>74</v>
      </c>
      <c r="X9" s="1" t="s">
        <v>74</v>
      </c>
      <c r="Y9" s="1" t="s">
        <v>74</v>
      </c>
      <c r="Z9" s="1" t="s">
        <v>74</v>
      </c>
      <c r="AA9" s="1" t="s">
        <v>161</v>
      </c>
      <c r="AB9" s="1" t="s">
        <v>162</v>
      </c>
      <c r="AC9" s="1" t="s">
        <v>74</v>
      </c>
      <c r="AD9" s="1" t="s">
        <v>74</v>
      </c>
      <c r="AE9" s="1" t="s">
        <v>74</v>
      </c>
      <c r="AF9" s="1" t="s">
        <v>74</v>
      </c>
      <c r="AG9" s="1" t="s">
        <v>74</v>
      </c>
      <c r="AH9" s="1" t="s">
        <v>74</v>
      </c>
      <c r="AI9" s="1" t="s">
        <v>74</v>
      </c>
      <c r="AJ9" s="1" t="s">
        <v>74</v>
      </c>
      <c r="AK9" s="1" t="s">
        <v>74</v>
      </c>
      <c r="AL9" s="1" t="s">
        <v>74</v>
      </c>
      <c r="AM9" s="1" t="s">
        <v>74</v>
      </c>
      <c r="AN9" s="1" t="s">
        <v>74</v>
      </c>
      <c r="AO9" s="1" t="s">
        <v>163</v>
      </c>
      <c r="AP9" s="1" t="s">
        <v>164</v>
      </c>
      <c r="AQ9" s="1" t="s">
        <v>74</v>
      </c>
      <c r="AR9" s="1" t="s">
        <v>74</v>
      </c>
      <c r="AS9" s="1" t="s">
        <v>74</v>
      </c>
      <c r="AT9" s="1" t="s">
        <v>74</v>
      </c>
      <c r="AU9" s="1">
        <v>2022.0</v>
      </c>
      <c r="AV9" s="1">
        <v>30.0</v>
      </c>
      <c r="AW9" s="1">
        <v>3.0</v>
      </c>
      <c r="AX9" s="1" t="s">
        <v>74</v>
      </c>
      <c r="AY9" s="1" t="s">
        <v>74</v>
      </c>
      <c r="AZ9" s="1" t="s">
        <v>74</v>
      </c>
      <c r="BA9" s="1" t="s">
        <v>74</v>
      </c>
      <c r="BB9" s="1">
        <v>241.0</v>
      </c>
      <c r="BC9" s="1">
        <v>250.0</v>
      </c>
      <c r="BD9" s="1" t="s">
        <v>74</v>
      </c>
      <c r="BE9" s="1" t="s">
        <v>165</v>
      </c>
      <c r="BF9" s="2" t="str">
        <f>HYPERLINK("http://dx.doi.org/10.3233/IES-210210","http://dx.doi.org/10.3233/IES-210210")</f>
        <v>http://dx.doi.org/10.3233/IES-210210</v>
      </c>
      <c r="BG9" s="1" t="s">
        <v>74</v>
      </c>
      <c r="BH9" s="1" t="s">
        <v>74</v>
      </c>
      <c r="BI9" s="1" t="s">
        <v>74</v>
      </c>
      <c r="BJ9" s="1" t="s">
        <v>74</v>
      </c>
      <c r="BK9" s="1" t="s">
        <v>74</v>
      </c>
      <c r="BL9" s="1" t="s">
        <v>74</v>
      </c>
      <c r="BM9" s="1" t="s">
        <v>74</v>
      </c>
      <c r="BN9" s="1" t="s">
        <v>74</v>
      </c>
      <c r="BO9" s="1" t="s">
        <v>74</v>
      </c>
      <c r="BP9" s="1" t="s">
        <v>74</v>
      </c>
      <c r="BQ9" s="1" t="s">
        <v>74</v>
      </c>
      <c r="BR9" s="1" t="s">
        <v>74</v>
      </c>
      <c r="BS9" s="1" t="s">
        <v>166</v>
      </c>
      <c r="BT9" s="1" t="str">
        <f>HYPERLINK("https%3A%2F%2Fwww.webofscience.com%2Fwos%2Fwoscc%2Ffull-record%2FWOS:000836117900007","View Full Record in Web of Science")</f>
        <v>View Full Record in Web of Science</v>
      </c>
    </row>
    <row r="10" ht="12.75" customHeight="1">
      <c r="A10" s="1" t="s">
        <v>72</v>
      </c>
      <c r="B10" s="1" t="s">
        <v>167</v>
      </c>
      <c r="C10" s="1" t="s">
        <v>74</v>
      </c>
      <c r="D10" s="1" t="s">
        <v>74</v>
      </c>
      <c r="E10" s="1" t="s">
        <v>74</v>
      </c>
      <c r="F10" s="1" t="s">
        <v>168</v>
      </c>
      <c r="G10" s="1" t="s">
        <v>74</v>
      </c>
      <c r="H10" s="1" t="s">
        <v>74</v>
      </c>
      <c r="I10" s="1" t="s">
        <v>169</v>
      </c>
      <c r="J10" s="1" t="s">
        <v>170</v>
      </c>
      <c r="K10" s="1" t="s">
        <v>74</v>
      </c>
      <c r="L10" s="1" t="s">
        <v>74</v>
      </c>
      <c r="M10" s="1" t="s">
        <v>74</v>
      </c>
      <c r="N10" s="1" t="s">
        <v>74</v>
      </c>
      <c r="O10" s="1" t="s">
        <v>74</v>
      </c>
      <c r="P10" s="1" t="s">
        <v>74</v>
      </c>
      <c r="Q10" s="1" t="s">
        <v>74</v>
      </c>
      <c r="R10" s="1" t="s">
        <v>74</v>
      </c>
      <c r="S10" s="1" t="s">
        <v>74</v>
      </c>
      <c r="T10" s="1" t="s">
        <v>74</v>
      </c>
      <c r="U10" s="1" t="s">
        <v>74</v>
      </c>
      <c r="V10" s="1" t="s">
        <v>171</v>
      </c>
      <c r="W10" s="1" t="s">
        <v>74</v>
      </c>
      <c r="X10" s="1" t="s">
        <v>74</v>
      </c>
      <c r="Y10" s="1" t="s">
        <v>74</v>
      </c>
      <c r="Z10" s="1" t="s">
        <v>74</v>
      </c>
      <c r="AA10" s="1" t="s">
        <v>172</v>
      </c>
      <c r="AB10" s="1" t="s">
        <v>173</v>
      </c>
      <c r="AC10" s="1" t="s">
        <v>74</v>
      </c>
      <c r="AD10" s="1" t="s">
        <v>74</v>
      </c>
      <c r="AE10" s="1" t="s">
        <v>74</v>
      </c>
      <c r="AF10" s="1" t="s">
        <v>74</v>
      </c>
      <c r="AG10" s="1" t="s">
        <v>74</v>
      </c>
      <c r="AH10" s="1" t="s">
        <v>74</v>
      </c>
      <c r="AI10" s="1" t="s">
        <v>74</v>
      </c>
      <c r="AJ10" s="1" t="s">
        <v>74</v>
      </c>
      <c r="AK10" s="1" t="s">
        <v>74</v>
      </c>
      <c r="AL10" s="1" t="s">
        <v>74</v>
      </c>
      <c r="AM10" s="1" t="s">
        <v>74</v>
      </c>
      <c r="AN10" s="1" t="s">
        <v>74</v>
      </c>
      <c r="AO10" s="1" t="s">
        <v>174</v>
      </c>
      <c r="AP10" s="1" t="s">
        <v>175</v>
      </c>
      <c r="AQ10" s="1" t="s">
        <v>74</v>
      </c>
      <c r="AR10" s="1" t="s">
        <v>74</v>
      </c>
      <c r="AS10" s="1" t="s">
        <v>74</v>
      </c>
      <c r="AT10" s="1" t="s">
        <v>176</v>
      </c>
      <c r="AU10" s="1">
        <v>2021.0</v>
      </c>
      <c r="AV10" s="1">
        <v>61.0</v>
      </c>
      <c r="AW10" s="1">
        <v>8.0</v>
      </c>
      <c r="AX10" s="1" t="s">
        <v>74</v>
      </c>
      <c r="AY10" s="1" t="s">
        <v>74</v>
      </c>
      <c r="AZ10" s="1" t="s">
        <v>74</v>
      </c>
      <c r="BA10" s="1" t="s">
        <v>74</v>
      </c>
      <c r="BB10" s="1">
        <v>3955.0</v>
      </c>
      <c r="BC10" s="1">
        <v>3963.0</v>
      </c>
      <c r="BD10" s="1" t="s">
        <v>74</v>
      </c>
      <c r="BE10" s="1" t="s">
        <v>177</v>
      </c>
      <c r="BF10" s="2" t="str">
        <f>HYPERLINK("http://dx.doi.org/10.1021/acs.jcim.1c00605","http://dx.doi.org/10.1021/acs.jcim.1c00605")</f>
        <v>http://dx.doi.org/10.1021/acs.jcim.1c00605</v>
      </c>
      <c r="BG10" s="1" t="s">
        <v>74</v>
      </c>
      <c r="BH10" s="1" t="s">
        <v>178</v>
      </c>
      <c r="BI10" s="1" t="s">
        <v>74</v>
      </c>
      <c r="BJ10" s="1" t="s">
        <v>74</v>
      </c>
      <c r="BK10" s="1" t="s">
        <v>74</v>
      </c>
      <c r="BL10" s="1" t="s">
        <v>74</v>
      </c>
      <c r="BM10" s="1" t="s">
        <v>74</v>
      </c>
      <c r="BN10" s="1">
        <v>3.4378935E7</v>
      </c>
      <c r="BO10" s="1" t="s">
        <v>74</v>
      </c>
      <c r="BP10" s="1" t="s">
        <v>74</v>
      </c>
      <c r="BQ10" s="1" t="s">
        <v>74</v>
      </c>
      <c r="BR10" s="1" t="s">
        <v>74</v>
      </c>
      <c r="BS10" s="1" t="s">
        <v>179</v>
      </c>
      <c r="BT10" s="1" t="str">
        <f>HYPERLINK("https%3A%2F%2Fwww.webofscience.com%2Fwos%2Fwoscc%2Ffull-record%2FWOS:000688241800021","View Full Record in Web of Science")</f>
        <v>View Full Record in Web of Science</v>
      </c>
    </row>
    <row r="11" ht="12.75" customHeight="1">
      <c r="A11" s="1" t="s">
        <v>72</v>
      </c>
      <c r="B11" s="1" t="s">
        <v>180</v>
      </c>
      <c r="C11" s="1" t="s">
        <v>74</v>
      </c>
      <c r="D11" s="1" t="s">
        <v>74</v>
      </c>
      <c r="E11" s="1" t="s">
        <v>74</v>
      </c>
      <c r="F11" s="1" t="s">
        <v>181</v>
      </c>
      <c r="G11" s="1" t="s">
        <v>74</v>
      </c>
      <c r="H11" s="1" t="s">
        <v>74</v>
      </c>
      <c r="I11" s="1" t="s">
        <v>182</v>
      </c>
      <c r="J11" s="1" t="s">
        <v>183</v>
      </c>
      <c r="K11" s="1" t="s">
        <v>74</v>
      </c>
      <c r="L11" s="1" t="s">
        <v>74</v>
      </c>
      <c r="M11" s="1" t="s">
        <v>74</v>
      </c>
      <c r="N11" s="1" t="s">
        <v>74</v>
      </c>
      <c r="O11" s="1" t="s">
        <v>74</v>
      </c>
      <c r="P11" s="1" t="s">
        <v>74</v>
      </c>
      <c r="Q11" s="1" t="s">
        <v>74</v>
      </c>
      <c r="R11" s="1" t="s">
        <v>74</v>
      </c>
      <c r="S11" s="1" t="s">
        <v>74</v>
      </c>
      <c r="T11" s="1" t="s">
        <v>74</v>
      </c>
      <c r="U11" s="1" t="s">
        <v>74</v>
      </c>
      <c r="V11" s="1" t="s">
        <v>184</v>
      </c>
      <c r="W11" s="1" t="s">
        <v>74</v>
      </c>
      <c r="X11" s="1" t="s">
        <v>74</v>
      </c>
      <c r="Y11" s="1" t="s">
        <v>74</v>
      </c>
      <c r="Z11" s="1" t="s">
        <v>74</v>
      </c>
      <c r="AA11" s="1" t="s">
        <v>185</v>
      </c>
      <c r="AB11" s="1" t="s">
        <v>186</v>
      </c>
      <c r="AC11" s="1" t="s">
        <v>74</v>
      </c>
      <c r="AD11" s="1" t="s">
        <v>74</v>
      </c>
      <c r="AE11" s="1" t="s">
        <v>74</v>
      </c>
      <c r="AF11" s="1" t="s">
        <v>74</v>
      </c>
      <c r="AG11" s="1" t="s">
        <v>74</v>
      </c>
      <c r="AH11" s="1" t="s">
        <v>74</v>
      </c>
      <c r="AI11" s="1" t="s">
        <v>74</v>
      </c>
      <c r="AJ11" s="1" t="s">
        <v>74</v>
      </c>
      <c r="AK11" s="1" t="s">
        <v>74</v>
      </c>
      <c r="AL11" s="1" t="s">
        <v>74</v>
      </c>
      <c r="AM11" s="1" t="s">
        <v>74</v>
      </c>
      <c r="AN11" s="1" t="s">
        <v>74</v>
      </c>
      <c r="AO11" s="1" t="s">
        <v>187</v>
      </c>
      <c r="AP11" s="1" t="s">
        <v>188</v>
      </c>
      <c r="AQ11" s="1" t="s">
        <v>74</v>
      </c>
      <c r="AR11" s="1" t="s">
        <v>74</v>
      </c>
      <c r="AS11" s="1" t="s">
        <v>74</v>
      </c>
      <c r="AT11" s="1" t="s">
        <v>189</v>
      </c>
      <c r="AU11" s="1">
        <v>2020.0</v>
      </c>
      <c r="AV11" s="1">
        <v>16.0</v>
      </c>
      <c r="AW11" s="1">
        <v>8.0</v>
      </c>
      <c r="AX11" s="1" t="s">
        <v>74</v>
      </c>
      <c r="AY11" s="1" t="s">
        <v>74</v>
      </c>
      <c r="AZ11" s="1" t="s">
        <v>74</v>
      </c>
      <c r="BA11" s="1" t="s">
        <v>74</v>
      </c>
      <c r="BB11" s="1">
        <v>564.0</v>
      </c>
      <c r="BC11" s="1">
        <v>570.0</v>
      </c>
      <c r="BD11" s="1" t="s">
        <v>74</v>
      </c>
      <c r="BE11" s="1" t="s">
        <v>190</v>
      </c>
      <c r="BF11" s="2" t="str">
        <f>HYPERLINK("http://dx.doi.org/10.1089/chi.2020.0185","http://dx.doi.org/10.1089/chi.2020.0185")</f>
        <v>http://dx.doi.org/10.1089/chi.2020.0185</v>
      </c>
      <c r="BG11" s="1" t="s">
        <v>74</v>
      </c>
      <c r="BH11" s="1" t="s">
        <v>191</v>
      </c>
      <c r="BI11" s="1" t="s">
        <v>74</v>
      </c>
      <c r="BJ11" s="1" t="s">
        <v>74</v>
      </c>
      <c r="BK11" s="1" t="s">
        <v>74</v>
      </c>
      <c r="BL11" s="1" t="s">
        <v>74</v>
      </c>
      <c r="BM11" s="1" t="s">
        <v>74</v>
      </c>
      <c r="BN11" s="1">
        <v>3.3047968E7</v>
      </c>
      <c r="BO11" s="1" t="s">
        <v>74</v>
      </c>
      <c r="BP11" s="1" t="s">
        <v>74</v>
      </c>
      <c r="BQ11" s="1" t="s">
        <v>74</v>
      </c>
      <c r="BR11" s="1" t="s">
        <v>74</v>
      </c>
      <c r="BS11" s="1" t="s">
        <v>192</v>
      </c>
      <c r="BT11" s="1" t="str">
        <f>HYPERLINK("https%3A%2F%2Fwww.webofscience.com%2Fwos%2Fwoscc%2Ffull-record%2FWOS:000581545200001","View Full Record in Web of Science")</f>
        <v>View Full Record in Web of Science</v>
      </c>
    </row>
    <row r="12" ht="12.75" customHeight="1">
      <c r="A12" s="1" t="s">
        <v>72</v>
      </c>
      <c r="B12" s="1" t="s">
        <v>193</v>
      </c>
      <c r="C12" s="1" t="s">
        <v>74</v>
      </c>
      <c r="D12" s="1" t="s">
        <v>74</v>
      </c>
      <c r="E12" s="1" t="s">
        <v>74</v>
      </c>
      <c r="F12" s="1" t="s">
        <v>194</v>
      </c>
      <c r="G12" s="1" t="s">
        <v>74</v>
      </c>
      <c r="H12" s="1" t="s">
        <v>74</v>
      </c>
      <c r="I12" s="1" t="s">
        <v>195</v>
      </c>
      <c r="J12" s="1" t="s">
        <v>196</v>
      </c>
      <c r="K12" s="1" t="s">
        <v>74</v>
      </c>
      <c r="L12" s="1" t="s">
        <v>74</v>
      </c>
      <c r="M12" s="1" t="s">
        <v>74</v>
      </c>
      <c r="N12" s="1" t="s">
        <v>74</v>
      </c>
      <c r="O12" s="1" t="s">
        <v>74</v>
      </c>
      <c r="P12" s="1" t="s">
        <v>74</v>
      </c>
      <c r="Q12" s="1" t="s">
        <v>74</v>
      </c>
      <c r="R12" s="1" t="s">
        <v>74</v>
      </c>
      <c r="S12" s="1" t="s">
        <v>74</v>
      </c>
      <c r="T12" s="1" t="s">
        <v>74</v>
      </c>
      <c r="U12" s="1" t="s">
        <v>74</v>
      </c>
      <c r="V12" s="1" t="s">
        <v>197</v>
      </c>
      <c r="W12" s="1" t="s">
        <v>74</v>
      </c>
      <c r="X12" s="1" t="s">
        <v>74</v>
      </c>
      <c r="Y12" s="1" t="s">
        <v>74</v>
      </c>
      <c r="Z12" s="1" t="s">
        <v>74</v>
      </c>
      <c r="AA12" s="1" t="s">
        <v>198</v>
      </c>
      <c r="AB12" s="1" t="s">
        <v>199</v>
      </c>
      <c r="AC12" s="1" t="s">
        <v>74</v>
      </c>
      <c r="AD12" s="1" t="s">
        <v>74</v>
      </c>
      <c r="AE12" s="1" t="s">
        <v>74</v>
      </c>
      <c r="AF12" s="1" t="s">
        <v>74</v>
      </c>
      <c r="AG12" s="1" t="s">
        <v>74</v>
      </c>
      <c r="AH12" s="1" t="s">
        <v>74</v>
      </c>
      <c r="AI12" s="1" t="s">
        <v>74</v>
      </c>
      <c r="AJ12" s="1" t="s">
        <v>74</v>
      </c>
      <c r="AK12" s="1" t="s">
        <v>74</v>
      </c>
      <c r="AL12" s="1" t="s">
        <v>74</v>
      </c>
      <c r="AM12" s="1" t="s">
        <v>74</v>
      </c>
      <c r="AN12" s="1" t="s">
        <v>74</v>
      </c>
      <c r="AO12" s="1" t="s">
        <v>200</v>
      </c>
      <c r="AP12" s="1" t="s">
        <v>201</v>
      </c>
      <c r="AQ12" s="1" t="s">
        <v>74</v>
      </c>
      <c r="AR12" s="1" t="s">
        <v>74</v>
      </c>
      <c r="AS12" s="1" t="s">
        <v>74</v>
      </c>
      <c r="AT12" s="1" t="s">
        <v>202</v>
      </c>
      <c r="AU12" s="1">
        <v>2015.0</v>
      </c>
      <c r="AV12" s="1">
        <v>15.0</v>
      </c>
      <c r="AW12" s="1">
        <v>6.0</v>
      </c>
      <c r="AX12" s="1" t="s">
        <v>74</v>
      </c>
      <c r="AY12" s="1" t="s">
        <v>74</v>
      </c>
      <c r="AZ12" s="1" t="s">
        <v>74</v>
      </c>
      <c r="BA12" s="1" t="s">
        <v>74</v>
      </c>
      <c r="BB12" s="1">
        <v>2561.0</v>
      </c>
      <c r="BC12" s="1">
        <v>2564.0</v>
      </c>
      <c r="BD12" s="1" t="s">
        <v>74</v>
      </c>
      <c r="BE12" s="1" t="s">
        <v>203</v>
      </c>
      <c r="BF12" s="2" t="str">
        <f>HYPERLINK("http://dx.doi.org/10.1021/acs.cgd.5b00102","http://dx.doi.org/10.1021/acs.cgd.5b00102")</f>
        <v>http://dx.doi.org/10.1021/acs.cgd.5b00102</v>
      </c>
      <c r="BG12" s="1" t="s">
        <v>74</v>
      </c>
      <c r="BH12" s="1" t="s">
        <v>74</v>
      </c>
      <c r="BI12" s="1" t="s">
        <v>74</v>
      </c>
      <c r="BJ12" s="1" t="s">
        <v>74</v>
      </c>
      <c r="BK12" s="1" t="s">
        <v>74</v>
      </c>
      <c r="BL12" s="1" t="s">
        <v>74</v>
      </c>
      <c r="BM12" s="1" t="s">
        <v>74</v>
      </c>
      <c r="BN12" s="1" t="s">
        <v>74</v>
      </c>
      <c r="BO12" s="1" t="s">
        <v>74</v>
      </c>
      <c r="BP12" s="1" t="s">
        <v>74</v>
      </c>
      <c r="BQ12" s="1" t="s">
        <v>74</v>
      </c>
      <c r="BR12" s="1" t="s">
        <v>74</v>
      </c>
      <c r="BS12" s="1" t="s">
        <v>204</v>
      </c>
      <c r="BT12" s="1" t="str">
        <f>HYPERLINK("https%3A%2F%2Fwww.webofscience.com%2Fwos%2Fwoscc%2Ffull-record%2FWOS:000355890400002","View Full Record in Web of Science")</f>
        <v>View Full Record in Web of Science</v>
      </c>
    </row>
    <row r="13" ht="12.75" customHeight="1">
      <c r="A13" s="1" t="s">
        <v>72</v>
      </c>
      <c r="B13" s="1" t="s">
        <v>205</v>
      </c>
      <c r="C13" s="1" t="s">
        <v>74</v>
      </c>
      <c r="D13" s="1" t="s">
        <v>74</v>
      </c>
      <c r="E13" s="1" t="s">
        <v>74</v>
      </c>
      <c r="F13" s="1" t="s">
        <v>206</v>
      </c>
      <c r="G13" s="1" t="s">
        <v>74</v>
      </c>
      <c r="H13" s="1" t="s">
        <v>74</v>
      </c>
      <c r="I13" s="1" t="s">
        <v>207</v>
      </c>
      <c r="J13" s="1" t="s">
        <v>208</v>
      </c>
      <c r="K13" s="1" t="s">
        <v>74</v>
      </c>
      <c r="L13" s="1" t="s">
        <v>74</v>
      </c>
      <c r="M13" s="1" t="s">
        <v>74</v>
      </c>
      <c r="N13" s="1" t="s">
        <v>74</v>
      </c>
      <c r="O13" s="1" t="s">
        <v>74</v>
      </c>
      <c r="P13" s="1" t="s">
        <v>74</v>
      </c>
      <c r="Q13" s="1" t="s">
        <v>74</v>
      </c>
      <c r="R13" s="1" t="s">
        <v>74</v>
      </c>
      <c r="S13" s="1" t="s">
        <v>74</v>
      </c>
      <c r="T13" s="1" t="s">
        <v>74</v>
      </c>
      <c r="U13" s="1" t="s">
        <v>74</v>
      </c>
      <c r="V13" s="1" t="s">
        <v>209</v>
      </c>
      <c r="W13" s="1" t="s">
        <v>74</v>
      </c>
      <c r="X13" s="1" t="s">
        <v>74</v>
      </c>
      <c r="Y13" s="1" t="s">
        <v>74</v>
      </c>
      <c r="Z13" s="1" t="s">
        <v>74</v>
      </c>
      <c r="AA13" s="1" t="s">
        <v>210</v>
      </c>
      <c r="AB13" s="1" t="s">
        <v>211</v>
      </c>
      <c r="AC13" s="1" t="s">
        <v>74</v>
      </c>
      <c r="AD13" s="1" t="s">
        <v>74</v>
      </c>
      <c r="AE13" s="1" t="s">
        <v>74</v>
      </c>
      <c r="AF13" s="1" t="s">
        <v>74</v>
      </c>
      <c r="AG13" s="1" t="s">
        <v>74</v>
      </c>
      <c r="AH13" s="1" t="s">
        <v>74</v>
      </c>
      <c r="AI13" s="1" t="s">
        <v>74</v>
      </c>
      <c r="AJ13" s="1" t="s">
        <v>74</v>
      </c>
      <c r="AK13" s="1" t="s">
        <v>74</v>
      </c>
      <c r="AL13" s="1" t="s">
        <v>74</v>
      </c>
      <c r="AM13" s="1" t="s">
        <v>74</v>
      </c>
      <c r="AN13" s="1" t="s">
        <v>74</v>
      </c>
      <c r="AO13" s="1" t="s">
        <v>212</v>
      </c>
      <c r="AP13" s="1" t="s">
        <v>213</v>
      </c>
      <c r="AQ13" s="1" t="s">
        <v>74</v>
      </c>
      <c r="AR13" s="1" t="s">
        <v>74</v>
      </c>
      <c r="AS13" s="1" t="s">
        <v>74</v>
      </c>
      <c r="AT13" s="1" t="s">
        <v>214</v>
      </c>
      <c r="AU13" s="1">
        <v>2008.0</v>
      </c>
      <c r="AV13" s="1">
        <v>23.0</v>
      </c>
      <c r="AW13" s="1">
        <v>2.0</v>
      </c>
      <c r="AX13" s="1" t="s">
        <v>74</v>
      </c>
      <c r="AY13" s="1" t="s">
        <v>74</v>
      </c>
      <c r="AZ13" s="1" t="s">
        <v>74</v>
      </c>
      <c r="BA13" s="1" t="s">
        <v>74</v>
      </c>
      <c r="BB13" s="1">
        <v>340.0</v>
      </c>
      <c r="BC13" s="1">
        <v>351.0</v>
      </c>
      <c r="BD13" s="1" t="s">
        <v>74</v>
      </c>
      <c r="BE13" s="1" t="s">
        <v>215</v>
      </c>
      <c r="BF13" s="2" t="str">
        <f>HYPERLINK("http://dx.doi.org/10.1093/humrep/dem319","http://dx.doi.org/10.1093/humrep/dem319")</f>
        <v>http://dx.doi.org/10.1093/humrep/dem319</v>
      </c>
      <c r="BG13" s="1" t="s">
        <v>74</v>
      </c>
      <c r="BH13" s="1" t="s">
        <v>74</v>
      </c>
      <c r="BI13" s="1" t="s">
        <v>74</v>
      </c>
      <c r="BJ13" s="1" t="s">
        <v>74</v>
      </c>
      <c r="BK13" s="1" t="s">
        <v>74</v>
      </c>
      <c r="BL13" s="1" t="s">
        <v>74</v>
      </c>
      <c r="BM13" s="1" t="s">
        <v>74</v>
      </c>
      <c r="BN13" s="1">
        <v>1.8077318E7</v>
      </c>
      <c r="BO13" s="1" t="s">
        <v>74</v>
      </c>
      <c r="BP13" s="1" t="s">
        <v>74</v>
      </c>
      <c r="BQ13" s="1" t="s">
        <v>74</v>
      </c>
      <c r="BR13" s="1" t="s">
        <v>74</v>
      </c>
      <c r="BS13" s="1" t="s">
        <v>216</v>
      </c>
      <c r="BT13" s="1" t="str">
        <f>HYPERLINK("https%3A%2F%2Fwww.webofscience.com%2Fwos%2Fwoscc%2Ffull-record%2FWOS:000252544300017","View Full Record in Web of Science")</f>
        <v>View Full Record in Web of Science</v>
      </c>
    </row>
    <row r="14" ht="12.75" customHeight="1">
      <c r="A14" s="1" t="s">
        <v>72</v>
      </c>
      <c r="B14" s="1" t="s">
        <v>217</v>
      </c>
      <c r="C14" s="1" t="s">
        <v>74</v>
      </c>
      <c r="D14" s="1" t="s">
        <v>74</v>
      </c>
      <c r="E14" s="1" t="s">
        <v>74</v>
      </c>
      <c r="F14" s="1" t="s">
        <v>218</v>
      </c>
      <c r="G14" s="1" t="s">
        <v>74</v>
      </c>
      <c r="H14" s="1" t="s">
        <v>74</v>
      </c>
      <c r="I14" s="1" t="s">
        <v>219</v>
      </c>
      <c r="J14" s="1" t="s">
        <v>220</v>
      </c>
      <c r="K14" s="1" t="s">
        <v>74</v>
      </c>
      <c r="L14" s="1" t="s">
        <v>74</v>
      </c>
      <c r="M14" s="1" t="s">
        <v>74</v>
      </c>
      <c r="N14" s="1" t="s">
        <v>74</v>
      </c>
      <c r="O14" s="1" t="s">
        <v>74</v>
      </c>
      <c r="P14" s="1" t="s">
        <v>74</v>
      </c>
      <c r="Q14" s="1" t="s">
        <v>74</v>
      </c>
      <c r="R14" s="1" t="s">
        <v>74</v>
      </c>
      <c r="S14" s="1" t="s">
        <v>74</v>
      </c>
      <c r="T14" s="1" t="s">
        <v>74</v>
      </c>
      <c r="U14" s="1" t="s">
        <v>74</v>
      </c>
      <c r="V14" s="1" t="s">
        <v>221</v>
      </c>
      <c r="W14" s="1" t="s">
        <v>74</v>
      </c>
      <c r="X14" s="1" t="s">
        <v>74</v>
      </c>
      <c r="Y14" s="1" t="s">
        <v>74</v>
      </c>
      <c r="Z14" s="1" t="s">
        <v>74</v>
      </c>
      <c r="AA14" s="1" t="s">
        <v>222</v>
      </c>
      <c r="AB14" s="1" t="s">
        <v>223</v>
      </c>
      <c r="AC14" s="1" t="s">
        <v>74</v>
      </c>
      <c r="AD14" s="1" t="s">
        <v>74</v>
      </c>
      <c r="AE14" s="1" t="s">
        <v>74</v>
      </c>
      <c r="AF14" s="1" t="s">
        <v>74</v>
      </c>
      <c r="AG14" s="1" t="s">
        <v>74</v>
      </c>
      <c r="AH14" s="1" t="s">
        <v>74</v>
      </c>
      <c r="AI14" s="1" t="s">
        <v>74</v>
      </c>
      <c r="AJ14" s="1" t="s">
        <v>74</v>
      </c>
      <c r="AK14" s="1" t="s">
        <v>74</v>
      </c>
      <c r="AL14" s="1" t="s">
        <v>74</v>
      </c>
      <c r="AM14" s="1" t="s">
        <v>74</v>
      </c>
      <c r="AN14" s="1" t="s">
        <v>74</v>
      </c>
      <c r="AO14" s="1" t="s">
        <v>224</v>
      </c>
      <c r="AP14" s="1" t="s">
        <v>225</v>
      </c>
      <c r="AQ14" s="1" t="s">
        <v>74</v>
      </c>
      <c r="AR14" s="1" t="s">
        <v>74</v>
      </c>
      <c r="AS14" s="1" t="s">
        <v>74</v>
      </c>
      <c r="AT14" s="1" t="s">
        <v>226</v>
      </c>
      <c r="AU14" s="1">
        <v>2025.0</v>
      </c>
      <c r="AV14" s="1">
        <v>1326.0</v>
      </c>
      <c r="AW14" s="1" t="s">
        <v>74</v>
      </c>
      <c r="AX14" s="1" t="s">
        <v>74</v>
      </c>
      <c r="AY14" s="1" t="s">
        <v>74</v>
      </c>
      <c r="AZ14" s="1" t="s">
        <v>74</v>
      </c>
      <c r="BA14" s="1" t="s">
        <v>74</v>
      </c>
      <c r="BB14" s="1" t="s">
        <v>74</v>
      </c>
      <c r="BC14" s="1" t="s">
        <v>74</v>
      </c>
      <c r="BD14" s="1">
        <v>141105.0</v>
      </c>
      <c r="BE14" s="1" t="s">
        <v>227</v>
      </c>
      <c r="BF14" s="2" t="str">
        <f>HYPERLINK("http://dx.doi.org/10.1016/j.molstruc.2024.141105","http://dx.doi.org/10.1016/j.molstruc.2024.141105")</f>
        <v>http://dx.doi.org/10.1016/j.molstruc.2024.141105</v>
      </c>
      <c r="BG14" s="1" t="s">
        <v>74</v>
      </c>
      <c r="BH14" s="1" t="s">
        <v>228</v>
      </c>
      <c r="BI14" s="1" t="s">
        <v>74</v>
      </c>
      <c r="BJ14" s="1" t="s">
        <v>74</v>
      </c>
      <c r="BK14" s="1" t="s">
        <v>74</v>
      </c>
      <c r="BL14" s="1" t="s">
        <v>74</v>
      </c>
      <c r="BM14" s="1" t="s">
        <v>74</v>
      </c>
      <c r="BN14" s="1" t="s">
        <v>74</v>
      </c>
      <c r="BO14" s="1" t="s">
        <v>74</v>
      </c>
      <c r="BP14" s="1" t="s">
        <v>74</v>
      </c>
      <c r="BQ14" s="1" t="s">
        <v>74</v>
      </c>
      <c r="BR14" s="1" t="s">
        <v>74</v>
      </c>
      <c r="BS14" s="1" t="s">
        <v>229</v>
      </c>
      <c r="BT14" s="1" t="str">
        <f>HYPERLINK("https%3A%2F%2Fwww.webofscience.com%2Fwos%2Fwoscc%2Ffull-record%2FWOS:001396729400001","View Full Record in Web of Science")</f>
        <v>View Full Record in Web of Science</v>
      </c>
    </row>
    <row r="15" ht="12.75" customHeight="1">
      <c r="A15" s="1" t="s">
        <v>72</v>
      </c>
      <c r="B15" s="1" t="s">
        <v>230</v>
      </c>
      <c r="C15" s="1" t="s">
        <v>74</v>
      </c>
      <c r="D15" s="1" t="s">
        <v>74</v>
      </c>
      <c r="E15" s="1" t="s">
        <v>74</v>
      </c>
      <c r="F15" s="1" t="s">
        <v>231</v>
      </c>
      <c r="G15" s="1" t="s">
        <v>74</v>
      </c>
      <c r="H15" s="1" t="s">
        <v>74</v>
      </c>
      <c r="I15" s="1" t="s">
        <v>232</v>
      </c>
      <c r="J15" s="1" t="s">
        <v>233</v>
      </c>
      <c r="K15" s="1" t="s">
        <v>74</v>
      </c>
      <c r="L15" s="1" t="s">
        <v>74</v>
      </c>
      <c r="M15" s="1" t="s">
        <v>74</v>
      </c>
      <c r="N15" s="1" t="s">
        <v>74</v>
      </c>
      <c r="O15" s="1" t="s">
        <v>74</v>
      </c>
      <c r="P15" s="1" t="s">
        <v>74</v>
      </c>
      <c r="Q15" s="1" t="s">
        <v>74</v>
      </c>
      <c r="R15" s="1" t="s">
        <v>74</v>
      </c>
      <c r="S15" s="1" t="s">
        <v>74</v>
      </c>
      <c r="T15" s="1" t="s">
        <v>74</v>
      </c>
      <c r="U15" s="1" t="s">
        <v>74</v>
      </c>
      <c r="V15" s="1" t="s">
        <v>234</v>
      </c>
      <c r="W15" s="1" t="s">
        <v>74</v>
      </c>
      <c r="X15" s="1" t="s">
        <v>74</v>
      </c>
      <c r="Y15" s="1" t="s">
        <v>74</v>
      </c>
      <c r="Z15" s="1" t="s">
        <v>74</v>
      </c>
      <c r="AA15" s="1" t="s">
        <v>235</v>
      </c>
      <c r="AB15" s="1" t="s">
        <v>236</v>
      </c>
      <c r="AC15" s="1" t="s">
        <v>74</v>
      </c>
      <c r="AD15" s="1" t="s">
        <v>74</v>
      </c>
      <c r="AE15" s="1" t="s">
        <v>74</v>
      </c>
      <c r="AF15" s="1" t="s">
        <v>74</v>
      </c>
      <c r="AG15" s="1" t="s">
        <v>74</v>
      </c>
      <c r="AH15" s="1" t="s">
        <v>74</v>
      </c>
      <c r="AI15" s="1" t="s">
        <v>74</v>
      </c>
      <c r="AJ15" s="1" t="s">
        <v>74</v>
      </c>
      <c r="AK15" s="1" t="s">
        <v>74</v>
      </c>
      <c r="AL15" s="1" t="s">
        <v>74</v>
      </c>
      <c r="AM15" s="1" t="s">
        <v>74</v>
      </c>
      <c r="AN15" s="1" t="s">
        <v>74</v>
      </c>
      <c r="AO15" s="1" t="s">
        <v>237</v>
      </c>
      <c r="AP15" s="1" t="s">
        <v>238</v>
      </c>
      <c r="AQ15" s="1" t="s">
        <v>74</v>
      </c>
      <c r="AR15" s="1" t="s">
        <v>74</v>
      </c>
      <c r="AS15" s="1" t="s">
        <v>74</v>
      </c>
      <c r="AT15" s="1" t="s">
        <v>239</v>
      </c>
      <c r="AU15" s="1">
        <v>2021.0</v>
      </c>
      <c r="AV15" s="1">
        <v>358.0</v>
      </c>
      <c r="AW15" s="1">
        <v>7.0</v>
      </c>
      <c r="AX15" s="1" t="s">
        <v>74</v>
      </c>
      <c r="AY15" s="1" t="s">
        <v>74</v>
      </c>
      <c r="AZ15" s="1" t="s">
        <v>74</v>
      </c>
      <c r="BA15" s="1" t="s">
        <v>74</v>
      </c>
      <c r="BB15" s="1">
        <v>3943.0</v>
      </c>
      <c r="BC15" s="1">
        <v>3963.0</v>
      </c>
      <c r="BD15" s="1" t="s">
        <v>74</v>
      </c>
      <c r="BE15" s="1" t="s">
        <v>240</v>
      </c>
      <c r="BF15" s="2" t="str">
        <f>HYPERLINK("http://dx.doi.org/10.1016/j.jfranklin.2021.02.033","http://dx.doi.org/10.1016/j.jfranklin.2021.02.033")</f>
        <v>http://dx.doi.org/10.1016/j.jfranklin.2021.02.033</v>
      </c>
      <c r="BG15" s="1" t="s">
        <v>74</v>
      </c>
      <c r="BH15" s="1" t="s">
        <v>241</v>
      </c>
      <c r="BI15" s="1" t="s">
        <v>74</v>
      </c>
      <c r="BJ15" s="1" t="s">
        <v>74</v>
      </c>
      <c r="BK15" s="1" t="s">
        <v>74</v>
      </c>
      <c r="BL15" s="1" t="s">
        <v>74</v>
      </c>
      <c r="BM15" s="1" t="s">
        <v>74</v>
      </c>
      <c r="BN15" s="1" t="s">
        <v>74</v>
      </c>
      <c r="BO15" s="1" t="s">
        <v>74</v>
      </c>
      <c r="BP15" s="1" t="s">
        <v>74</v>
      </c>
      <c r="BQ15" s="1" t="s">
        <v>74</v>
      </c>
      <c r="BR15" s="1" t="s">
        <v>74</v>
      </c>
      <c r="BS15" s="1" t="s">
        <v>242</v>
      </c>
      <c r="BT15" s="1" t="str">
        <f>HYPERLINK("https%3A%2F%2Fwww.webofscience.com%2Fwos%2Fwoscc%2Ffull-record%2FWOS:000678374900013","View Full Record in Web of Science")</f>
        <v>View Full Record in Web of Science</v>
      </c>
    </row>
    <row r="16" ht="12.75" customHeight="1">
      <c r="A16" s="1" t="s">
        <v>72</v>
      </c>
      <c r="B16" s="1" t="s">
        <v>243</v>
      </c>
      <c r="C16" s="1" t="s">
        <v>74</v>
      </c>
      <c r="D16" s="1" t="s">
        <v>74</v>
      </c>
      <c r="E16" s="1" t="s">
        <v>74</v>
      </c>
      <c r="F16" s="1" t="s">
        <v>244</v>
      </c>
      <c r="G16" s="1" t="s">
        <v>74</v>
      </c>
      <c r="H16" s="1" t="s">
        <v>74</v>
      </c>
      <c r="I16" s="1" t="s">
        <v>245</v>
      </c>
      <c r="J16" s="1" t="s">
        <v>246</v>
      </c>
      <c r="K16" s="1" t="s">
        <v>74</v>
      </c>
      <c r="L16" s="1" t="s">
        <v>74</v>
      </c>
      <c r="M16" s="1" t="s">
        <v>74</v>
      </c>
      <c r="N16" s="1" t="s">
        <v>74</v>
      </c>
      <c r="O16" s="1" t="s">
        <v>74</v>
      </c>
      <c r="P16" s="1" t="s">
        <v>74</v>
      </c>
      <c r="Q16" s="1" t="s">
        <v>74</v>
      </c>
      <c r="R16" s="1" t="s">
        <v>74</v>
      </c>
      <c r="S16" s="1" t="s">
        <v>74</v>
      </c>
      <c r="T16" s="1" t="s">
        <v>74</v>
      </c>
      <c r="U16" s="1" t="s">
        <v>74</v>
      </c>
      <c r="V16" s="1" t="s">
        <v>247</v>
      </c>
      <c r="W16" s="1" t="s">
        <v>74</v>
      </c>
      <c r="X16" s="1" t="s">
        <v>74</v>
      </c>
      <c r="Y16" s="1" t="s">
        <v>74</v>
      </c>
      <c r="Z16" s="1" t="s">
        <v>74</v>
      </c>
      <c r="AA16" s="1" t="s">
        <v>248</v>
      </c>
      <c r="AB16" s="1" t="s">
        <v>249</v>
      </c>
      <c r="AC16" s="1" t="s">
        <v>74</v>
      </c>
      <c r="AD16" s="1" t="s">
        <v>74</v>
      </c>
      <c r="AE16" s="1" t="s">
        <v>74</v>
      </c>
      <c r="AF16" s="1" t="s">
        <v>74</v>
      </c>
      <c r="AG16" s="1" t="s">
        <v>74</v>
      </c>
      <c r="AH16" s="1" t="s">
        <v>74</v>
      </c>
      <c r="AI16" s="1" t="s">
        <v>74</v>
      </c>
      <c r="AJ16" s="1" t="s">
        <v>74</v>
      </c>
      <c r="AK16" s="1" t="s">
        <v>74</v>
      </c>
      <c r="AL16" s="1" t="s">
        <v>74</v>
      </c>
      <c r="AM16" s="1" t="s">
        <v>74</v>
      </c>
      <c r="AN16" s="1" t="s">
        <v>74</v>
      </c>
      <c r="AO16" s="1" t="s">
        <v>250</v>
      </c>
      <c r="AP16" s="1" t="s">
        <v>251</v>
      </c>
      <c r="AQ16" s="1" t="s">
        <v>74</v>
      </c>
      <c r="AR16" s="1" t="s">
        <v>74</v>
      </c>
      <c r="AS16" s="1" t="s">
        <v>74</v>
      </c>
      <c r="AT16" s="1" t="s">
        <v>252</v>
      </c>
      <c r="AU16" s="1">
        <v>2021.0</v>
      </c>
      <c r="AV16" s="1">
        <v>31.0</v>
      </c>
      <c r="AW16" s="1">
        <v>4.0</v>
      </c>
      <c r="AX16" s="1" t="s">
        <v>74</v>
      </c>
      <c r="AY16" s="1" t="s">
        <v>74</v>
      </c>
      <c r="AZ16" s="1" t="s">
        <v>74</v>
      </c>
      <c r="BA16" s="1" t="s">
        <v>74</v>
      </c>
      <c r="BB16" s="1">
        <v>1308.0</v>
      </c>
      <c r="BC16" s="1">
        <v>1316.0</v>
      </c>
      <c r="BD16" s="1" t="s">
        <v>74</v>
      </c>
      <c r="BE16" s="1" t="s">
        <v>253</v>
      </c>
      <c r="BF16" s="2" t="str">
        <f>HYPERLINK("http://dx.doi.org/10.1016/j.numecd.2020.12.014","http://dx.doi.org/10.1016/j.numecd.2020.12.014")</f>
        <v>http://dx.doi.org/10.1016/j.numecd.2020.12.014</v>
      </c>
      <c r="BG16" s="1" t="s">
        <v>74</v>
      </c>
      <c r="BH16" s="1" t="s">
        <v>254</v>
      </c>
      <c r="BI16" s="1" t="s">
        <v>74</v>
      </c>
      <c r="BJ16" s="1" t="s">
        <v>74</v>
      </c>
      <c r="BK16" s="1" t="s">
        <v>74</v>
      </c>
      <c r="BL16" s="1" t="s">
        <v>74</v>
      </c>
      <c r="BM16" s="1" t="s">
        <v>74</v>
      </c>
      <c r="BN16" s="1">
        <v>3.3618924E7</v>
      </c>
      <c r="BO16" s="1" t="s">
        <v>74</v>
      </c>
      <c r="BP16" s="1" t="s">
        <v>74</v>
      </c>
      <c r="BQ16" s="1" t="s">
        <v>74</v>
      </c>
      <c r="BR16" s="1" t="s">
        <v>74</v>
      </c>
      <c r="BS16" s="1" t="s">
        <v>255</v>
      </c>
      <c r="BT16" s="1" t="str">
        <f>HYPERLINK("https%3A%2F%2Fwww.webofscience.com%2Fwos%2Fwoscc%2Ffull-record%2FWOS:000632557600034","View Full Record in Web of Science")</f>
        <v>View Full Record in Web of Science</v>
      </c>
    </row>
    <row r="17" ht="12.75" customHeight="1">
      <c r="A17" s="1" t="s">
        <v>72</v>
      </c>
      <c r="B17" s="1" t="s">
        <v>256</v>
      </c>
      <c r="C17" s="1" t="s">
        <v>74</v>
      </c>
      <c r="D17" s="1" t="s">
        <v>74</v>
      </c>
      <c r="E17" s="1" t="s">
        <v>74</v>
      </c>
      <c r="F17" s="1" t="s">
        <v>257</v>
      </c>
      <c r="G17" s="1" t="s">
        <v>74</v>
      </c>
      <c r="H17" s="1" t="s">
        <v>74</v>
      </c>
      <c r="I17" s="1" t="s">
        <v>258</v>
      </c>
      <c r="J17" s="1" t="s">
        <v>259</v>
      </c>
      <c r="K17" s="1" t="s">
        <v>74</v>
      </c>
      <c r="L17" s="1" t="s">
        <v>74</v>
      </c>
      <c r="M17" s="1" t="s">
        <v>74</v>
      </c>
      <c r="N17" s="1" t="s">
        <v>74</v>
      </c>
      <c r="O17" s="1" t="s">
        <v>74</v>
      </c>
      <c r="P17" s="1" t="s">
        <v>74</v>
      </c>
      <c r="Q17" s="1" t="s">
        <v>74</v>
      </c>
      <c r="R17" s="1" t="s">
        <v>74</v>
      </c>
      <c r="S17" s="1" t="s">
        <v>74</v>
      </c>
      <c r="T17" s="1" t="s">
        <v>74</v>
      </c>
      <c r="U17" s="1" t="s">
        <v>74</v>
      </c>
      <c r="V17" s="1" t="s">
        <v>260</v>
      </c>
      <c r="W17" s="1" t="s">
        <v>74</v>
      </c>
      <c r="X17" s="1" t="s">
        <v>74</v>
      </c>
      <c r="Y17" s="1" t="s">
        <v>74</v>
      </c>
      <c r="Z17" s="1" t="s">
        <v>74</v>
      </c>
      <c r="AA17" s="1" t="s">
        <v>261</v>
      </c>
      <c r="AB17" s="1" t="s">
        <v>262</v>
      </c>
      <c r="AC17" s="1" t="s">
        <v>74</v>
      </c>
      <c r="AD17" s="1" t="s">
        <v>74</v>
      </c>
      <c r="AE17" s="1" t="s">
        <v>74</v>
      </c>
      <c r="AF17" s="1" t="s">
        <v>74</v>
      </c>
      <c r="AG17" s="1" t="s">
        <v>74</v>
      </c>
      <c r="AH17" s="1" t="s">
        <v>74</v>
      </c>
      <c r="AI17" s="1" t="s">
        <v>74</v>
      </c>
      <c r="AJ17" s="1" t="s">
        <v>74</v>
      </c>
      <c r="AK17" s="1" t="s">
        <v>74</v>
      </c>
      <c r="AL17" s="1" t="s">
        <v>74</v>
      </c>
      <c r="AM17" s="1" t="s">
        <v>74</v>
      </c>
      <c r="AN17" s="1" t="s">
        <v>74</v>
      </c>
      <c r="AO17" s="1" t="s">
        <v>74</v>
      </c>
      <c r="AP17" s="1" t="s">
        <v>263</v>
      </c>
      <c r="AQ17" s="1" t="s">
        <v>74</v>
      </c>
      <c r="AR17" s="1" t="s">
        <v>74</v>
      </c>
      <c r="AS17" s="1" t="s">
        <v>74</v>
      </c>
      <c r="AT17" s="1" t="s">
        <v>264</v>
      </c>
      <c r="AU17" s="1">
        <v>2017.0</v>
      </c>
      <c r="AV17" s="1">
        <v>9.0</v>
      </c>
      <c r="AW17" s="1">
        <v>1.0</v>
      </c>
      <c r="AX17" s="1" t="s">
        <v>74</v>
      </c>
      <c r="AY17" s="1" t="s">
        <v>74</v>
      </c>
      <c r="AZ17" s="1" t="s">
        <v>74</v>
      </c>
      <c r="BA17" s="1" t="s">
        <v>74</v>
      </c>
      <c r="BB17" s="1" t="s">
        <v>74</v>
      </c>
      <c r="BC17" s="1" t="s">
        <v>74</v>
      </c>
      <c r="BD17" s="1">
        <v>40.0</v>
      </c>
      <c r="BE17" s="1" t="s">
        <v>265</v>
      </c>
      <c r="BF17" s="2" t="str">
        <f>HYPERLINK("http://dx.doi.org/10.3390/nu9010040","http://dx.doi.org/10.3390/nu9010040")</f>
        <v>http://dx.doi.org/10.3390/nu9010040</v>
      </c>
      <c r="BG17" s="1" t="s">
        <v>74</v>
      </c>
      <c r="BH17" s="1" t="s">
        <v>74</v>
      </c>
      <c r="BI17" s="1" t="s">
        <v>74</v>
      </c>
      <c r="BJ17" s="1" t="s">
        <v>74</v>
      </c>
      <c r="BK17" s="1" t="s">
        <v>74</v>
      </c>
      <c r="BL17" s="1" t="s">
        <v>74</v>
      </c>
      <c r="BM17" s="1" t="s">
        <v>74</v>
      </c>
      <c r="BN17" s="1">
        <v>2.8106719E7</v>
      </c>
      <c r="BO17" s="1" t="s">
        <v>74</v>
      </c>
      <c r="BP17" s="1" t="s">
        <v>74</v>
      </c>
      <c r="BQ17" s="1" t="s">
        <v>74</v>
      </c>
      <c r="BR17" s="1" t="s">
        <v>74</v>
      </c>
      <c r="BS17" s="1" t="s">
        <v>266</v>
      </c>
      <c r="BT17" s="1" t="str">
        <f>HYPERLINK("https%3A%2F%2Fwww.webofscience.com%2Fwos%2Fwoscc%2Ffull-record%2FWOS:000396465500040","View Full Record in Web of Science")</f>
        <v>View Full Record in Web of Science</v>
      </c>
    </row>
    <row r="18" ht="12.75" customHeight="1">
      <c r="A18" s="1" t="s">
        <v>72</v>
      </c>
      <c r="B18" s="1" t="s">
        <v>267</v>
      </c>
      <c r="C18" s="1" t="s">
        <v>74</v>
      </c>
      <c r="D18" s="1" t="s">
        <v>74</v>
      </c>
      <c r="E18" s="1" t="s">
        <v>74</v>
      </c>
      <c r="F18" s="1" t="s">
        <v>268</v>
      </c>
      <c r="G18" s="1" t="s">
        <v>74</v>
      </c>
      <c r="H18" s="1" t="s">
        <v>74</v>
      </c>
      <c r="I18" s="1" t="s">
        <v>269</v>
      </c>
      <c r="J18" s="1" t="s">
        <v>270</v>
      </c>
      <c r="K18" s="1" t="s">
        <v>74</v>
      </c>
      <c r="L18" s="1" t="s">
        <v>74</v>
      </c>
      <c r="M18" s="1" t="s">
        <v>74</v>
      </c>
      <c r="N18" s="1" t="s">
        <v>74</v>
      </c>
      <c r="O18" s="1" t="s">
        <v>74</v>
      </c>
      <c r="P18" s="1" t="s">
        <v>74</v>
      </c>
      <c r="Q18" s="1" t="s">
        <v>74</v>
      </c>
      <c r="R18" s="1" t="s">
        <v>74</v>
      </c>
      <c r="S18" s="1" t="s">
        <v>74</v>
      </c>
      <c r="T18" s="1" t="s">
        <v>74</v>
      </c>
      <c r="U18" s="1" t="s">
        <v>74</v>
      </c>
      <c r="V18" s="1" t="s">
        <v>271</v>
      </c>
      <c r="W18" s="1" t="s">
        <v>74</v>
      </c>
      <c r="X18" s="1" t="s">
        <v>74</v>
      </c>
      <c r="Y18" s="1" t="s">
        <v>74</v>
      </c>
      <c r="Z18" s="1" t="s">
        <v>74</v>
      </c>
      <c r="AA18" s="1" t="s">
        <v>272</v>
      </c>
      <c r="AB18" s="1" t="s">
        <v>273</v>
      </c>
      <c r="AC18" s="1" t="s">
        <v>74</v>
      </c>
      <c r="AD18" s="1" t="s">
        <v>74</v>
      </c>
      <c r="AE18" s="1" t="s">
        <v>74</v>
      </c>
      <c r="AF18" s="1" t="s">
        <v>74</v>
      </c>
      <c r="AG18" s="1" t="s">
        <v>74</v>
      </c>
      <c r="AH18" s="1" t="s">
        <v>74</v>
      </c>
      <c r="AI18" s="1" t="s">
        <v>74</v>
      </c>
      <c r="AJ18" s="1" t="s">
        <v>74</v>
      </c>
      <c r="AK18" s="1" t="s">
        <v>74</v>
      </c>
      <c r="AL18" s="1" t="s">
        <v>74</v>
      </c>
      <c r="AM18" s="1" t="s">
        <v>74</v>
      </c>
      <c r="AN18" s="1" t="s">
        <v>74</v>
      </c>
      <c r="AO18" s="1" t="s">
        <v>274</v>
      </c>
      <c r="AP18" s="1" t="s">
        <v>275</v>
      </c>
      <c r="AQ18" s="1" t="s">
        <v>74</v>
      </c>
      <c r="AR18" s="1" t="s">
        <v>74</v>
      </c>
      <c r="AS18" s="1" t="s">
        <v>74</v>
      </c>
      <c r="AT18" s="1" t="s">
        <v>276</v>
      </c>
      <c r="AU18" s="1">
        <v>2015.0</v>
      </c>
      <c r="AV18" s="1">
        <v>91.0</v>
      </c>
      <c r="AW18" s="1">
        <v>6.0</v>
      </c>
      <c r="AX18" s="1" t="s">
        <v>74</v>
      </c>
      <c r="AY18" s="1" t="s">
        <v>74</v>
      </c>
      <c r="AZ18" s="1" t="s">
        <v>74</v>
      </c>
      <c r="BA18" s="1" t="s">
        <v>74</v>
      </c>
      <c r="BB18" s="1" t="s">
        <v>74</v>
      </c>
      <c r="BC18" s="1" t="s">
        <v>74</v>
      </c>
      <c r="BD18" s="1">
        <v>65028.0</v>
      </c>
      <c r="BE18" s="1" t="s">
        <v>277</v>
      </c>
      <c r="BF18" s="2" t="str">
        <f>HYPERLINK("http://dx.doi.org/10.1103/PhysRevD.91.065028","http://dx.doi.org/10.1103/PhysRevD.91.065028")</f>
        <v>http://dx.doi.org/10.1103/PhysRevD.91.065028</v>
      </c>
      <c r="BG18" s="1" t="s">
        <v>74</v>
      </c>
      <c r="BH18" s="1" t="s">
        <v>74</v>
      </c>
      <c r="BI18" s="1" t="s">
        <v>74</v>
      </c>
      <c r="BJ18" s="1" t="s">
        <v>74</v>
      </c>
      <c r="BK18" s="1" t="s">
        <v>74</v>
      </c>
      <c r="BL18" s="1" t="s">
        <v>74</v>
      </c>
      <c r="BM18" s="1" t="s">
        <v>74</v>
      </c>
      <c r="BN18" s="1" t="s">
        <v>74</v>
      </c>
      <c r="BO18" s="1" t="s">
        <v>74</v>
      </c>
      <c r="BP18" s="1" t="s">
        <v>74</v>
      </c>
      <c r="BQ18" s="1" t="s">
        <v>74</v>
      </c>
      <c r="BR18" s="1" t="s">
        <v>74</v>
      </c>
      <c r="BS18" s="1" t="s">
        <v>278</v>
      </c>
      <c r="BT18" s="1" t="str">
        <f>HYPERLINK("https%3A%2F%2Fwww.webofscience.com%2Fwos%2Fwoscc%2Ffull-record%2FWOS:000351574000011","View Full Record in Web of Science")</f>
        <v>View Full Record in Web of Science</v>
      </c>
    </row>
    <row r="19" ht="12.75" customHeight="1">
      <c r="A19" s="1" t="s">
        <v>72</v>
      </c>
      <c r="B19" s="1" t="s">
        <v>279</v>
      </c>
      <c r="C19" s="1" t="s">
        <v>74</v>
      </c>
      <c r="D19" s="1" t="s">
        <v>74</v>
      </c>
      <c r="E19" s="1" t="s">
        <v>74</v>
      </c>
      <c r="F19" s="1" t="s">
        <v>280</v>
      </c>
      <c r="G19" s="1" t="s">
        <v>74</v>
      </c>
      <c r="H19" s="1" t="s">
        <v>74</v>
      </c>
      <c r="I19" s="1" t="s">
        <v>281</v>
      </c>
      <c r="J19" s="1" t="s">
        <v>282</v>
      </c>
      <c r="K19" s="1" t="s">
        <v>74</v>
      </c>
      <c r="L19" s="1" t="s">
        <v>74</v>
      </c>
      <c r="M19" s="1" t="s">
        <v>74</v>
      </c>
      <c r="N19" s="1" t="s">
        <v>74</v>
      </c>
      <c r="O19" s="1" t="s">
        <v>74</v>
      </c>
      <c r="P19" s="1" t="s">
        <v>74</v>
      </c>
      <c r="Q19" s="1" t="s">
        <v>74</v>
      </c>
      <c r="R19" s="1" t="s">
        <v>74</v>
      </c>
      <c r="S19" s="1" t="s">
        <v>74</v>
      </c>
      <c r="T19" s="1" t="s">
        <v>74</v>
      </c>
      <c r="U19" s="1" t="s">
        <v>74</v>
      </c>
      <c r="V19" s="1" t="s">
        <v>283</v>
      </c>
      <c r="W19" s="1" t="s">
        <v>74</v>
      </c>
      <c r="X19" s="1" t="s">
        <v>74</v>
      </c>
      <c r="Y19" s="1" t="s">
        <v>74</v>
      </c>
      <c r="Z19" s="1" t="s">
        <v>74</v>
      </c>
      <c r="AA19" s="1" t="s">
        <v>284</v>
      </c>
      <c r="AB19" s="1" t="s">
        <v>285</v>
      </c>
      <c r="AC19" s="1" t="s">
        <v>74</v>
      </c>
      <c r="AD19" s="1" t="s">
        <v>74</v>
      </c>
      <c r="AE19" s="1" t="s">
        <v>74</v>
      </c>
      <c r="AF19" s="1" t="s">
        <v>74</v>
      </c>
      <c r="AG19" s="1" t="s">
        <v>74</v>
      </c>
      <c r="AH19" s="1" t="s">
        <v>74</v>
      </c>
      <c r="AI19" s="1" t="s">
        <v>74</v>
      </c>
      <c r="AJ19" s="1" t="s">
        <v>74</v>
      </c>
      <c r="AK19" s="1" t="s">
        <v>74</v>
      </c>
      <c r="AL19" s="1" t="s">
        <v>74</v>
      </c>
      <c r="AM19" s="1" t="s">
        <v>74</v>
      </c>
      <c r="AN19" s="1" t="s">
        <v>74</v>
      </c>
      <c r="AO19" s="1" t="s">
        <v>74</v>
      </c>
      <c r="AP19" s="1" t="s">
        <v>286</v>
      </c>
      <c r="AQ19" s="1" t="s">
        <v>74</v>
      </c>
      <c r="AR19" s="1" t="s">
        <v>74</v>
      </c>
      <c r="AS19" s="1" t="s">
        <v>74</v>
      </c>
      <c r="AT19" s="1" t="s">
        <v>287</v>
      </c>
      <c r="AU19" s="1">
        <v>2025.0</v>
      </c>
      <c r="AV19" s="1" t="s">
        <v>74</v>
      </c>
      <c r="AW19" s="1" t="s">
        <v>74</v>
      </c>
      <c r="AX19" s="1" t="s">
        <v>74</v>
      </c>
      <c r="AY19" s="1" t="s">
        <v>74</v>
      </c>
      <c r="AZ19" s="1" t="s">
        <v>74</v>
      </c>
      <c r="BA19" s="1" t="s">
        <v>74</v>
      </c>
      <c r="BB19" s="1" t="s">
        <v>74</v>
      </c>
      <c r="BC19" s="1" t="s">
        <v>74</v>
      </c>
      <c r="BD19" s="1" t="s">
        <v>74</v>
      </c>
      <c r="BE19" s="1" t="s">
        <v>288</v>
      </c>
      <c r="BF19" s="2" t="str">
        <f>HYPERLINK("http://dx.doi.org/10.1002/ese3.70058","http://dx.doi.org/10.1002/ese3.70058")</f>
        <v>http://dx.doi.org/10.1002/ese3.70058</v>
      </c>
      <c r="BG19" s="1" t="s">
        <v>74</v>
      </c>
      <c r="BH19" s="1" t="s">
        <v>289</v>
      </c>
      <c r="BI19" s="1" t="s">
        <v>74</v>
      </c>
      <c r="BJ19" s="1" t="s">
        <v>74</v>
      </c>
      <c r="BK19" s="1" t="s">
        <v>74</v>
      </c>
      <c r="BL19" s="1" t="s">
        <v>74</v>
      </c>
      <c r="BM19" s="1" t="s">
        <v>74</v>
      </c>
      <c r="BN19" s="1" t="s">
        <v>74</v>
      </c>
      <c r="BO19" s="1" t="s">
        <v>74</v>
      </c>
      <c r="BP19" s="1" t="s">
        <v>74</v>
      </c>
      <c r="BQ19" s="1" t="s">
        <v>74</v>
      </c>
      <c r="BR19" s="1" t="s">
        <v>74</v>
      </c>
      <c r="BS19" s="1" t="s">
        <v>290</v>
      </c>
      <c r="BT19" s="1" t="str">
        <f>HYPERLINK("https%3A%2F%2Fwww.webofscience.com%2Fwos%2Fwoscc%2Ffull-record%2FWOS:001458114700001","View Full Record in Web of Science")</f>
        <v>View Full Record in Web of Science</v>
      </c>
    </row>
    <row r="20" ht="12.75" customHeight="1">
      <c r="A20" s="1" t="s">
        <v>72</v>
      </c>
      <c r="B20" s="1" t="s">
        <v>291</v>
      </c>
      <c r="C20" s="1" t="s">
        <v>74</v>
      </c>
      <c r="D20" s="1" t="s">
        <v>74</v>
      </c>
      <c r="E20" s="1" t="s">
        <v>74</v>
      </c>
      <c r="F20" s="1" t="s">
        <v>292</v>
      </c>
      <c r="G20" s="1" t="s">
        <v>74</v>
      </c>
      <c r="H20" s="1" t="s">
        <v>74</v>
      </c>
      <c r="I20" s="1" t="s">
        <v>293</v>
      </c>
      <c r="J20" s="1" t="s">
        <v>294</v>
      </c>
      <c r="K20" s="1" t="s">
        <v>74</v>
      </c>
      <c r="L20" s="1" t="s">
        <v>74</v>
      </c>
      <c r="M20" s="1" t="s">
        <v>74</v>
      </c>
      <c r="N20" s="1" t="s">
        <v>74</v>
      </c>
      <c r="O20" s="1" t="s">
        <v>74</v>
      </c>
      <c r="P20" s="1" t="s">
        <v>74</v>
      </c>
      <c r="Q20" s="1" t="s">
        <v>74</v>
      </c>
      <c r="R20" s="1" t="s">
        <v>74</v>
      </c>
      <c r="S20" s="1" t="s">
        <v>74</v>
      </c>
      <c r="T20" s="1" t="s">
        <v>74</v>
      </c>
      <c r="U20" s="1" t="s">
        <v>74</v>
      </c>
      <c r="V20" s="1" t="s">
        <v>295</v>
      </c>
      <c r="W20" s="1" t="s">
        <v>74</v>
      </c>
      <c r="X20" s="1" t="s">
        <v>74</v>
      </c>
      <c r="Y20" s="1" t="s">
        <v>74</v>
      </c>
      <c r="Z20" s="1" t="s">
        <v>74</v>
      </c>
      <c r="AA20" s="1" t="s">
        <v>296</v>
      </c>
      <c r="AB20" s="1" t="s">
        <v>74</v>
      </c>
      <c r="AC20" s="1" t="s">
        <v>74</v>
      </c>
      <c r="AD20" s="1" t="s">
        <v>74</v>
      </c>
      <c r="AE20" s="1" t="s">
        <v>74</v>
      </c>
      <c r="AF20" s="1" t="s">
        <v>74</v>
      </c>
      <c r="AG20" s="1" t="s">
        <v>74</v>
      </c>
      <c r="AH20" s="1" t="s">
        <v>74</v>
      </c>
      <c r="AI20" s="1" t="s">
        <v>74</v>
      </c>
      <c r="AJ20" s="1" t="s">
        <v>74</v>
      </c>
      <c r="AK20" s="1" t="s">
        <v>74</v>
      </c>
      <c r="AL20" s="1" t="s">
        <v>74</v>
      </c>
      <c r="AM20" s="1" t="s">
        <v>74</v>
      </c>
      <c r="AN20" s="1" t="s">
        <v>74</v>
      </c>
      <c r="AO20" s="1" t="s">
        <v>297</v>
      </c>
      <c r="AP20" s="1" t="s">
        <v>298</v>
      </c>
      <c r="AQ20" s="1" t="s">
        <v>74</v>
      </c>
      <c r="AR20" s="1" t="s">
        <v>74</v>
      </c>
      <c r="AS20" s="1" t="s">
        <v>74</v>
      </c>
      <c r="AT20" s="1" t="s">
        <v>299</v>
      </c>
      <c r="AU20" s="1">
        <v>2024.0</v>
      </c>
      <c r="AV20" s="1">
        <v>474.0</v>
      </c>
      <c r="AW20" s="1" t="s">
        <v>74</v>
      </c>
      <c r="AX20" s="1" t="s">
        <v>74</v>
      </c>
      <c r="AY20" s="1" t="s">
        <v>74</v>
      </c>
      <c r="AZ20" s="1" t="s">
        <v>74</v>
      </c>
      <c r="BA20" s="1" t="s">
        <v>74</v>
      </c>
      <c r="BB20" s="1" t="s">
        <v>74</v>
      </c>
      <c r="BC20" s="1" t="s">
        <v>74</v>
      </c>
      <c r="BD20" s="1">
        <v>134552.0</v>
      </c>
      <c r="BE20" s="1" t="s">
        <v>300</v>
      </c>
      <c r="BF20" s="2" t="str">
        <f>HYPERLINK("http://dx.doi.org/10.1016/j.jhazmat.2024.134552","http://dx.doi.org/10.1016/j.jhazmat.2024.134552")</f>
        <v>http://dx.doi.org/10.1016/j.jhazmat.2024.134552</v>
      </c>
      <c r="BG20" s="1" t="s">
        <v>74</v>
      </c>
      <c r="BH20" s="1" t="s">
        <v>301</v>
      </c>
      <c r="BI20" s="1" t="s">
        <v>74</v>
      </c>
      <c r="BJ20" s="1" t="s">
        <v>74</v>
      </c>
      <c r="BK20" s="1" t="s">
        <v>74</v>
      </c>
      <c r="BL20" s="1" t="s">
        <v>74</v>
      </c>
      <c r="BM20" s="1" t="s">
        <v>74</v>
      </c>
      <c r="BN20" s="1">
        <v>3.8823105E7</v>
      </c>
      <c r="BO20" s="1" t="s">
        <v>74</v>
      </c>
      <c r="BP20" s="1" t="s">
        <v>74</v>
      </c>
      <c r="BQ20" s="1" t="s">
        <v>74</v>
      </c>
      <c r="BR20" s="1" t="s">
        <v>74</v>
      </c>
      <c r="BS20" s="1" t="s">
        <v>302</v>
      </c>
      <c r="BT20" s="1" t="str">
        <f>HYPERLINK("https%3A%2F%2Fwww.webofscience.com%2Fwos%2Fwoscc%2Ffull-record%2FWOS:001249447800001","View Full Record in Web of Science")</f>
        <v>View Full Record in Web of Science</v>
      </c>
    </row>
    <row r="21" ht="12.75" customHeight="1">
      <c r="A21" s="1" t="s">
        <v>72</v>
      </c>
      <c r="B21" s="1" t="s">
        <v>303</v>
      </c>
      <c r="C21" s="1" t="s">
        <v>74</v>
      </c>
      <c r="D21" s="1" t="s">
        <v>74</v>
      </c>
      <c r="E21" s="1" t="s">
        <v>74</v>
      </c>
      <c r="F21" s="1" t="s">
        <v>304</v>
      </c>
      <c r="G21" s="1" t="s">
        <v>74</v>
      </c>
      <c r="H21" s="1" t="s">
        <v>74</v>
      </c>
      <c r="I21" s="1" t="s">
        <v>305</v>
      </c>
      <c r="J21" s="1" t="s">
        <v>306</v>
      </c>
      <c r="K21" s="1" t="s">
        <v>74</v>
      </c>
      <c r="L21" s="1" t="s">
        <v>74</v>
      </c>
      <c r="M21" s="1" t="s">
        <v>74</v>
      </c>
      <c r="N21" s="1" t="s">
        <v>74</v>
      </c>
      <c r="O21" s="1" t="s">
        <v>74</v>
      </c>
      <c r="P21" s="1" t="s">
        <v>74</v>
      </c>
      <c r="Q21" s="1" t="s">
        <v>74</v>
      </c>
      <c r="R21" s="1" t="s">
        <v>74</v>
      </c>
      <c r="S21" s="1" t="s">
        <v>74</v>
      </c>
      <c r="T21" s="1" t="s">
        <v>74</v>
      </c>
      <c r="U21" s="1" t="s">
        <v>74</v>
      </c>
      <c r="V21" s="1" t="s">
        <v>307</v>
      </c>
      <c r="W21" s="1" t="s">
        <v>74</v>
      </c>
      <c r="X21" s="1" t="s">
        <v>74</v>
      </c>
      <c r="Y21" s="1" t="s">
        <v>74</v>
      </c>
      <c r="Z21" s="1" t="s">
        <v>74</v>
      </c>
      <c r="AA21" s="1" t="s">
        <v>308</v>
      </c>
      <c r="AB21" s="1" t="s">
        <v>309</v>
      </c>
      <c r="AC21" s="1" t="s">
        <v>74</v>
      </c>
      <c r="AD21" s="1" t="s">
        <v>74</v>
      </c>
      <c r="AE21" s="1" t="s">
        <v>74</v>
      </c>
      <c r="AF21" s="1" t="s">
        <v>74</v>
      </c>
      <c r="AG21" s="1" t="s">
        <v>74</v>
      </c>
      <c r="AH21" s="1" t="s">
        <v>74</v>
      </c>
      <c r="AI21" s="1" t="s">
        <v>74</v>
      </c>
      <c r="AJ21" s="1" t="s">
        <v>74</v>
      </c>
      <c r="AK21" s="1" t="s">
        <v>74</v>
      </c>
      <c r="AL21" s="1" t="s">
        <v>74</v>
      </c>
      <c r="AM21" s="1" t="s">
        <v>74</v>
      </c>
      <c r="AN21" s="1" t="s">
        <v>74</v>
      </c>
      <c r="AO21" s="1" t="s">
        <v>310</v>
      </c>
      <c r="AP21" s="1" t="s">
        <v>311</v>
      </c>
      <c r="AQ21" s="1" t="s">
        <v>74</v>
      </c>
      <c r="AR21" s="1" t="s">
        <v>74</v>
      </c>
      <c r="AS21" s="1" t="s">
        <v>74</v>
      </c>
      <c r="AT21" s="1" t="s">
        <v>312</v>
      </c>
      <c r="AU21" s="1">
        <v>2023.0</v>
      </c>
      <c r="AV21" s="1">
        <v>968.0</v>
      </c>
      <c r="AW21" s="1" t="s">
        <v>74</v>
      </c>
      <c r="AX21" s="1" t="s">
        <v>74</v>
      </c>
      <c r="AY21" s="1" t="s">
        <v>74</v>
      </c>
      <c r="AZ21" s="1" t="s">
        <v>74</v>
      </c>
      <c r="BA21" s="1" t="s">
        <v>74</v>
      </c>
      <c r="BB21" s="1" t="s">
        <v>74</v>
      </c>
      <c r="BC21" s="1" t="s">
        <v>74</v>
      </c>
      <c r="BD21" s="1">
        <v>172156.0</v>
      </c>
      <c r="BE21" s="1" t="s">
        <v>313</v>
      </c>
      <c r="BF21" s="2" t="str">
        <f>HYPERLINK("http://dx.doi.org/10.1016/j.jallcom.2023.172156","http://dx.doi.org/10.1016/j.jallcom.2023.172156")</f>
        <v>http://dx.doi.org/10.1016/j.jallcom.2023.172156</v>
      </c>
      <c r="BG21" s="1" t="s">
        <v>74</v>
      </c>
      <c r="BH21" s="1" t="s">
        <v>314</v>
      </c>
      <c r="BI21" s="1" t="s">
        <v>74</v>
      </c>
      <c r="BJ21" s="1" t="s">
        <v>74</v>
      </c>
      <c r="BK21" s="1" t="s">
        <v>74</v>
      </c>
      <c r="BL21" s="1" t="s">
        <v>74</v>
      </c>
      <c r="BM21" s="1" t="s">
        <v>74</v>
      </c>
      <c r="BN21" s="1" t="s">
        <v>74</v>
      </c>
      <c r="BO21" s="1" t="s">
        <v>74</v>
      </c>
      <c r="BP21" s="1" t="s">
        <v>74</v>
      </c>
      <c r="BQ21" s="1" t="s">
        <v>74</v>
      </c>
      <c r="BR21" s="1" t="s">
        <v>74</v>
      </c>
      <c r="BS21" s="1" t="s">
        <v>315</v>
      </c>
      <c r="BT21" s="1" t="str">
        <f>HYPERLINK("https%3A%2F%2Fwww.webofscience.com%2Fwos%2Fwoscc%2Ffull-record%2FWOS:001081720600001","View Full Record in Web of Science")</f>
        <v>View Full Record in Web of Science</v>
      </c>
    </row>
    <row r="22" ht="12.75" customHeight="1">
      <c r="A22" s="1" t="s">
        <v>72</v>
      </c>
      <c r="B22" s="1" t="s">
        <v>316</v>
      </c>
      <c r="C22" s="1" t="s">
        <v>74</v>
      </c>
      <c r="D22" s="1" t="s">
        <v>74</v>
      </c>
      <c r="E22" s="1" t="s">
        <v>74</v>
      </c>
      <c r="F22" s="1" t="s">
        <v>317</v>
      </c>
      <c r="G22" s="1" t="s">
        <v>74</v>
      </c>
      <c r="H22" s="1" t="s">
        <v>74</v>
      </c>
      <c r="I22" s="1" t="s">
        <v>318</v>
      </c>
      <c r="J22" s="1" t="s">
        <v>319</v>
      </c>
      <c r="K22" s="1" t="s">
        <v>74</v>
      </c>
      <c r="L22" s="1" t="s">
        <v>74</v>
      </c>
      <c r="M22" s="1" t="s">
        <v>74</v>
      </c>
      <c r="N22" s="1" t="s">
        <v>74</v>
      </c>
      <c r="O22" s="1" t="s">
        <v>74</v>
      </c>
      <c r="P22" s="1" t="s">
        <v>74</v>
      </c>
      <c r="Q22" s="1" t="s">
        <v>74</v>
      </c>
      <c r="R22" s="1" t="s">
        <v>74</v>
      </c>
      <c r="S22" s="1" t="s">
        <v>74</v>
      </c>
      <c r="T22" s="1" t="s">
        <v>74</v>
      </c>
      <c r="U22" s="1" t="s">
        <v>74</v>
      </c>
      <c r="V22" s="1" t="s">
        <v>320</v>
      </c>
      <c r="W22" s="1" t="s">
        <v>74</v>
      </c>
      <c r="X22" s="1" t="s">
        <v>74</v>
      </c>
      <c r="Y22" s="1" t="s">
        <v>74</v>
      </c>
      <c r="Z22" s="1" t="s">
        <v>74</v>
      </c>
      <c r="AA22" s="1" t="s">
        <v>321</v>
      </c>
      <c r="AB22" s="1" t="s">
        <v>322</v>
      </c>
      <c r="AC22" s="1" t="s">
        <v>74</v>
      </c>
      <c r="AD22" s="1" t="s">
        <v>74</v>
      </c>
      <c r="AE22" s="1" t="s">
        <v>74</v>
      </c>
      <c r="AF22" s="1" t="s">
        <v>74</v>
      </c>
      <c r="AG22" s="1" t="s">
        <v>74</v>
      </c>
      <c r="AH22" s="1" t="s">
        <v>74</v>
      </c>
      <c r="AI22" s="1" t="s">
        <v>74</v>
      </c>
      <c r="AJ22" s="1" t="s">
        <v>74</v>
      </c>
      <c r="AK22" s="1" t="s">
        <v>74</v>
      </c>
      <c r="AL22" s="1" t="s">
        <v>74</v>
      </c>
      <c r="AM22" s="1" t="s">
        <v>74</v>
      </c>
      <c r="AN22" s="1" t="s">
        <v>74</v>
      </c>
      <c r="AO22" s="1" t="s">
        <v>323</v>
      </c>
      <c r="AP22" s="1" t="s">
        <v>74</v>
      </c>
      <c r="AQ22" s="1" t="s">
        <v>74</v>
      </c>
      <c r="AR22" s="1" t="s">
        <v>74</v>
      </c>
      <c r="AS22" s="1" t="s">
        <v>74</v>
      </c>
      <c r="AT22" s="1" t="s">
        <v>214</v>
      </c>
      <c r="AU22" s="1">
        <v>2023.0</v>
      </c>
      <c r="AV22" s="1">
        <v>12.0</v>
      </c>
      <c r="AW22" s="1">
        <v>4.0</v>
      </c>
      <c r="AX22" s="1" t="s">
        <v>74</v>
      </c>
      <c r="AY22" s="1" t="s">
        <v>74</v>
      </c>
      <c r="AZ22" s="1" t="s">
        <v>74</v>
      </c>
      <c r="BA22" s="1" t="s">
        <v>74</v>
      </c>
      <c r="BB22" s="1" t="s">
        <v>74</v>
      </c>
      <c r="BC22" s="1" t="s">
        <v>74</v>
      </c>
      <c r="BD22" s="1">
        <v>819.0</v>
      </c>
      <c r="BE22" s="1" t="s">
        <v>324</v>
      </c>
      <c r="BF22" s="2" t="str">
        <f>HYPERLINK("http://dx.doi.org/10.3390/plants12040819","http://dx.doi.org/10.3390/plants12040819")</f>
        <v>http://dx.doi.org/10.3390/plants12040819</v>
      </c>
      <c r="BG22" s="1" t="s">
        <v>74</v>
      </c>
      <c r="BH22" s="1" t="s">
        <v>74</v>
      </c>
      <c r="BI22" s="1" t="s">
        <v>74</v>
      </c>
      <c r="BJ22" s="1" t="s">
        <v>74</v>
      </c>
      <c r="BK22" s="1" t="s">
        <v>74</v>
      </c>
      <c r="BL22" s="1" t="s">
        <v>74</v>
      </c>
      <c r="BM22" s="1" t="s">
        <v>74</v>
      </c>
      <c r="BN22" s="1">
        <v>3.6840166E7</v>
      </c>
      <c r="BO22" s="1" t="s">
        <v>74</v>
      </c>
      <c r="BP22" s="1" t="s">
        <v>74</v>
      </c>
      <c r="BQ22" s="1" t="s">
        <v>74</v>
      </c>
      <c r="BR22" s="1" t="s">
        <v>74</v>
      </c>
      <c r="BS22" s="1" t="s">
        <v>325</v>
      </c>
      <c r="BT22" s="1" t="str">
        <f>HYPERLINK("https%3A%2F%2Fwww.webofscience.com%2Fwos%2Fwoscc%2Ffull-record%2FWOS:000940051700001","View Full Record in Web of Science")</f>
        <v>View Full Record in Web of Science</v>
      </c>
    </row>
    <row r="23" ht="12.75" customHeight="1">
      <c r="A23" s="1" t="s">
        <v>72</v>
      </c>
      <c r="B23" s="1" t="s">
        <v>326</v>
      </c>
      <c r="C23" s="1" t="s">
        <v>74</v>
      </c>
      <c r="D23" s="1" t="s">
        <v>74</v>
      </c>
      <c r="E23" s="1" t="s">
        <v>74</v>
      </c>
      <c r="F23" s="1" t="s">
        <v>327</v>
      </c>
      <c r="G23" s="1" t="s">
        <v>74</v>
      </c>
      <c r="H23" s="1" t="s">
        <v>74</v>
      </c>
      <c r="I23" s="1" t="s">
        <v>328</v>
      </c>
      <c r="J23" s="1" t="s">
        <v>329</v>
      </c>
      <c r="K23" s="1" t="s">
        <v>74</v>
      </c>
      <c r="L23" s="1" t="s">
        <v>74</v>
      </c>
      <c r="M23" s="1" t="s">
        <v>74</v>
      </c>
      <c r="N23" s="1" t="s">
        <v>74</v>
      </c>
      <c r="O23" s="1" t="s">
        <v>74</v>
      </c>
      <c r="P23" s="1" t="s">
        <v>74</v>
      </c>
      <c r="Q23" s="1" t="s">
        <v>74</v>
      </c>
      <c r="R23" s="1" t="s">
        <v>74</v>
      </c>
      <c r="S23" s="1" t="s">
        <v>74</v>
      </c>
      <c r="T23" s="1" t="s">
        <v>74</v>
      </c>
      <c r="U23" s="1" t="s">
        <v>74</v>
      </c>
      <c r="V23" s="1" t="s">
        <v>330</v>
      </c>
      <c r="W23" s="1" t="s">
        <v>74</v>
      </c>
      <c r="X23" s="1" t="s">
        <v>74</v>
      </c>
      <c r="Y23" s="1" t="s">
        <v>74</v>
      </c>
      <c r="Z23" s="1" t="s">
        <v>74</v>
      </c>
      <c r="AA23" s="1" t="s">
        <v>331</v>
      </c>
      <c r="AB23" s="1" t="s">
        <v>332</v>
      </c>
      <c r="AC23" s="1" t="s">
        <v>74</v>
      </c>
      <c r="AD23" s="1" t="s">
        <v>74</v>
      </c>
      <c r="AE23" s="1" t="s">
        <v>74</v>
      </c>
      <c r="AF23" s="1" t="s">
        <v>74</v>
      </c>
      <c r="AG23" s="1" t="s">
        <v>74</v>
      </c>
      <c r="AH23" s="1" t="s">
        <v>74</v>
      </c>
      <c r="AI23" s="1" t="s">
        <v>74</v>
      </c>
      <c r="AJ23" s="1" t="s">
        <v>74</v>
      </c>
      <c r="AK23" s="1" t="s">
        <v>74</v>
      </c>
      <c r="AL23" s="1" t="s">
        <v>74</v>
      </c>
      <c r="AM23" s="1" t="s">
        <v>74</v>
      </c>
      <c r="AN23" s="1" t="s">
        <v>74</v>
      </c>
      <c r="AO23" s="1" t="s">
        <v>333</v>
      </c>
      <c r="AP23" s="1" t="s">
        <v>74</v>
      </c>
      <c r="AQ23" s="1" t="s">
        <v>74</v>
      </c>
      <c r="AR23" s="1" t="s">
        <v>74</v>
      </c>
      <c r="AS23" s="1" t="s">
        <v>74</v>
      </c>
      <c r="AT23" s="1" t="s">
        <v>334</v>
      </c>
      <c r="AU23" s="1">
        <v>2015.0</v>
      </c>
      <c r="AV23" s="1">
        <v>6.0</v>
      </c>
      <c r="AW23" s="1" t="s">
        <v>74</v>
      </c>
      <c r="AX23" s="1" t="s">
        <v>74</v>
      </c>
      <c r="AY23" s="1" t="s">
        <v>74</v>
      </c>
      <c r="AZ23" s="1" t="s">
        <v>74</v>
      </c>
      <c r="BA23" s="1" t="s">
        <v>74</v>
      </c>
      <c r="BB23" s="1" t="s">
        <v>74</v>
      </c>
      <c r="BC23" s="1" t="s">
        <v>74</v>
      </c>
      <c r="BD23" s="1">
        <v>8400.0</v>
      </c>
      <c r="BE23" s="1" t="s">
        <v>335</v>
      </c>
      <c r="BF23" s="2" t="str">
        <f>HYPERLINK("http://dx.doi.org/10.1038/ncomms9400","http://dx.doi.org/10.1038/ncomms9400")</f>
        <v>http://dx.doi.org/10.1038/ncomms9400</v>
      </c>
      <c r="BG23" s="1" t="s">
        <v>74</v>
      </c>
      <c r="BH23" s="1" t="s">
        <v>74</v>
      </c>
      <c r="BI23" s="1" t="s">
        <v>74</v>
      </c>
      <c r="BJ23" s="1" t="s">
        <v>74</v>
      </c>
      <c r="BK23" s="1" t="s">
        <v>74</v>
      </c>
      <c r="BL23" s="1" t="s">
        <v>74</v>
      </c>
      <c r="BM23" s="1" t="s">
        <v>74</v>
      </c>
      <c r="BN23" s="1">
        <v>2.645531E7</v>
      </c>
      <c r="BO23" s="1" t="s">
        <v>74</v>
      </c>
      <c r="BP23" s="1" t="s">
        <v>74</v>
      </c>
      <c r="BQ23" s="1" t="s">
        <v>74</v>
      </c>
      <c r="BR23" s="1" t="s">
        <v>74</v>
      </c>
      <c r="BS23" s="1" t="s">
        <v>336</v>
      </c>
      <c r="BT23" s="1" t="str">
        <f>HYPERLINK("https%3A%2F%2Fwww.webofscience.com%2Fwos%2Fwoscc%2Ffull-record%2FWOS:000364922900002","View Full Record in Web of Science")</f>
        <v>View Full Record in Web of Science</v>
      </c>
    </row>
    <row r="24" ht="12.75" customHeight="1">
      <c r="A24" s="1" t="s">
        <v>72</v>
      </c>
      <c r="B24" s="1" t="s">
        <v>337</v>
      </c>
      <c r="C24" s="1" t="s">
        <v>74</v>
      </c>
      <c r="D24" s="1" t="s">
        <v>74</v>
      </c>
      <c r="E24" s="1" t="s">
        <v>74</v>
      </c>
      <c r="F24" s="1" t="s">
        <v>338</v>
      </c>
      <c r="G24" s="1" t="s">
        <v>74</v>
      </c>
      <c r="H24" s="1" t="s">
        <v>74</v>
      </c>
      <c r="I24" s="1" t="s">
        <v>339</v>
      </c>
      <c r="J24" s="1" t="s">
        <v>340</v>
      </c>
      <c r="K24" s="1" t="s">
        <v>74</v>
      </c>
      <c r="L24" s="1" t="s">
        <v>74</v>
      </c>
      <c r="M24" s="1" t="s">
        <v>74</v>
      </c>
      <c r="N24" s="1" t="s">
        <v>74</v>
      </c>
      <c r="O24" s="1" t="s">
        <v>74</v>
      </c>
      <c r="P24" s="1" t="s">
        <v>74</v>
      </c>
      <c r="Q24" s="1" t="s">
        <v>74</v>
      </c>
      <c r="R24" s="1" t="s">
        <v>74</v>
      </c>
      <c r="S24" s="1" t="s">
        <v>74</v>
      </c>
      <c r="T24" s="1" t="s">
        <v>74</v>
      </c>
      <c r="U24" s="1" t="s">
        <v>74</v>
      </c>
      <c r="V24" s="1" t="s">
        <v>341</v>
      </c>
      <c r="W24" s="1" t="s">
        <v>74</v>
      </c>
      <c r="X24" s="1" t="s">
        <v>74</v>
      </c>
      <c r="Y24" s="1" t="s">
        <v>74</v>
      </c>
      <c r="Z24" s="1" t="s">
        <v>74</v>
      </c>
      <c r="AA24" s="1" t="s">
        <v>342</v>
      </c>
      <c r="AB24" s="1" t="s">
        <v>343</v>
      </c>
      <c r="AC24" s="1" t="s">
        <v>74</v>
      </c>
      <c r="AD24" s="1" t="s">
        <v>74</v>
      </c>
      <c r="AE24" s="1" t="s">
        <v>74</v>
      </c>
      <c r="AF24" s="1" t="s">
        <v>74</v>
      </c>
      <c r="AG24" s="1" t="s">
        <v>74</v>
      </c>
      <c r="AH24" s="1" t="s">
        <v>74</v>
      </c>
      <c r="AI24" s="1" t="s">
        <v>74</v>
      </c>
      <c r="AJ24" s="1" t="s">
        <v>74</v>
      </c>
      <c r="AK24" s="1" t="s">
        <v>74</v>
      </c>
      <c r="AL24" s="1" t="s">
        <v>74</v>
      </c>
      <c r="AM24" s="1" t="s">
        <v>74</v>
      </c>
      <c r="AN24" s="1" t="s">
        <v>74</v>
      </c>
      <c r="AO24" s="1" t="s">
        <v>344</v>
      </c>
      <c r="AP24" s="1" t="s">
        <v>345</v>
      </c>
      <c r="AQ24" s="1" t="s">
        <v>74</v>
      </c>
      <c r="AR24" s="1" t="s">
        <v>74</v>
      </c>
      <c r="AS24" s="1" t="s">
        <v>74</v>
      </c>
      <c r="AT24" s="1" t="s">
        <v>346</v>
      </c>
      <c r="AU24" s="1">
        <v>2014.0</v>
      </c>
      <c r="AV24" s="1">
        <v>26.0</v>
      </c>
      <c r="AW24" s="1">
        <v>3.0</v>
      </c>
      <c r="AX24" s="1" t="s">
        <v>74</v>
      </c>
      <c r="AY24" s="1" t="s">
        <v>74</v>
      </c>
      <c r="AZ24" s="1" t="s">
        <v>74</v>
      </c>
      <c r="BA24" s="1" t="s">
        <v>74</v>
      </c>
      <c r="BB24" s="1">
        <v>507.0</v>
      </c>
      <c r="BC24" s="1">
        <v>512.0</v>
      </c>
      <c r="BD24" s="1" t="s">
        <v>74</v>
      </c>
      <c r="BE24" s="1" t="s">
        <v>347</v>
      </c>
      <c r="BF24" s="2" t="str">
        <f>HYPERLINK("http://dx.doi.org/10.1002/elan.201300578","http://dx.doi.org/10.1002/elan.201300578")</f>
        <v>http://dx.doi.org/10.1002/elan.201300578</v>
      </c>
      <c r="BG24" s="1" t="s">
        <v>74</v>
      </c>
      <c r="BH24" s="1" t="s">
        <v>74</v>
      </c>
      <c r="BI24" s="1" t="s">
        <v>74</v>
      </c>
      <c r="BJ24" s="1" t="s">
        <v>74</v>
      </c>
      <c r="BK24" s="1" t="s">
        <v>74</v>
      </c>
      <c r="BL24" s="1" t="s">
        <v>74</v>
      </c>
      <c r="BM24" s="1" t="s">
        <v>74</v>
      </c>
      <c r="BN24" s="1" t="s">
        <v>74</v>
      </c>
      <c r="BO24" s="1" t="s">
        <v>74</v>
      </c>
      <c r="BP24" s="1" t="s">
        <v>74</v>
      </c>
      <c r="BQ24" s="1" t="s">
        <v>74</v>
      </c>
      <c r="BR24" s="1" t="s">
        <v>74</v>
      </c>
      <c r="BS24" s="1" t="s">
        <v>348</v>
      </c>
      <c r="BT24" s="1" t="str">
        <f>HYPERLINK("https%3A%2F%2Fwww.webofscience.com%2Fwos%2Fwoscc%2Ffull-record%2FWOS:000332379700007","View Full Record in Web of Science")</f>
        <v>View Full Record in Web of Science</v>
      </c>
    </row>
    <row r="25" ht="12.75" customHeight="1">
      <c r="A25" s="1" t="s">
        <v>72</v>
      </c>
      <c r="B25" s="1" t="s">
        <v>349</v>
      </c>
      <c r="C25" s="1" t="s">
        <v>74</v>
      </c>
      <c r="D25" s="1" t="s">
        <v>74</v>
      </c>
      <c r="E25" s="1" t="s">
        <v>74</v>
      </c>
      <c r="F25" s="1" t="s">
        <v>350</v>
      </c>
      <c r="G25" s="1" t="s">
        <v>74</v>
      </c>
      <c r="H25" s="1" t="s">
        <v>74</v>
      </c>
      <c r="I25" s="1" t="s">
        <v>351</v>
      </c>
      <c r="J25" s="1" t="s">
        <v>352</v>
      </c>
      <c r="K25" s="1" t="s">
        <v>74</v>
      </c>
      <c r="L25" s="1" t="s">
        <v>74</v>
      </c>
      <c r="M25" s="1" t="s">
        <v>74</v>
      </c>
      <c r="N25" s="1" t="s">
        <v>74</v>
      </c>
      <c r="O25" s="1" t="s">
        <v>74</v>
      </c>
      <c r="P25" s="1" t="s">
        <v>74</v>
      </c>
      <c r="Q25" s="1" t="s">
        <v>74</v>
      </c>
      <c r="R25" s="1" t="s">
        <v>74</v>
      </c>
      <c r="S25" s="1" t="s">
        <v>74</v>
      </c>
      <c r="T25" s="1" t="s">
        <v>74</v>
      </c>
      <c r="U25" s="1" t="s">
        <v>74</v>
      </c>
      <c r="V25" s="1" t="s">
        <v>353</v>
      </c>
      <c r="W25" s="1" t="s">
        <v>74</v>
      </c>
      <c r="X25" s="1" t="s">
        <v>74</v>
      </c>
      <c r="Y25" s="1" t="s">
        <v>74</v>
      </c>
      <c r="Z25" s="1" t="s">
        <v>74</v>
      </c>
      <c r="AA25" s="1" t="s">
        <v>354</v>
      </c>
      <c r="AB25" s="1" t="s">
        <v>355</v>
      </c>
      <c r="AC25" s="1" t="s">
        <v>74</v>
      </c>
      <c r="AD25" s="1" t="s">
        <v>74</v>
      </c>
      <c r="AE25" s="1" t="s">
        <v>74</v>
      </c>
      <c r="AF25" s="1" t="s">
        <v>74</v>
      </c>
      <c r="AG25" s="1" t="s">
        <v>74</v>
      </c>
      <c r="AH25" s="1" t="s">
        <v>74</v>
      </c>
      <c r="AI25" s="1" t="s">
        <v>74</v>
      </c>
      <c r="AJ25" s="1" t="s">
        <v>74</v>
      </c>
      <c r="AK25" s="1" t="s">
        <v>74</v>
      </c>
      <c r="AL25" s="1" t="s">
        <v>74</v>
      </c>
      <c r="AM25" s="1" t="s">
        <v>74</v>
      </c>
      <c r="AN25" s="1" t="s">
        <v>74</v>
      </c>
      <c r="AO25" s="1" t="s">
        <v>356</v>
      </c>
      <c r="AP25" s="1" t="s">
        <v>357</v>
      </c>
      <c r="AQ25" s="1" t="s">
        <v>74</v>
      </c>
      <c r="AR25" s="1" t="s">
        <v>74</v>
      </c>
      <c r="AS25" s="1" t="s">
        <v>74</v>
      </c>
      <c r="AT25" s="1" t="s">
        <v>214</v>
      </c>
      <c r="AU25" s="1">
        <v>2009.0</v>
      </c>
      <c r="AV25" s="1">
        <v>34.0</v>
      </c>
      <c r="AW25" s="1">
        <v>4.0</v>
      </c>
      <c r="AX25" s="1" t="s">
        <v>74</v>
      </c>
      <c r="AY25" s="1" t="s">
        <v>74</v>
      </c>
      <c r="AZ25" s="1" t="s">
        <v>74</v>
      </c>
      <c r="BA25" s="1" t="s">
        <v>74</v>
      </c>
      <c r="BB25" s="1">
        <v>1818.0</v>
      </c>
      <c r="BC25" s="1">
        <v>1827.0</v>
      </c>
      <c r="BD25" s="1" t="s">
        <v>74</v>
      </c>
      <c r="BE25" s="1" t="s">
        <v>358</v>
      </c>
      <c r="BF25" s="2" t="str">
        <f>HYPERLINK("http://dx.doi.org/10.1016/j.ijhydene.2008.12.001","http://dx.doi.org/10.1016/j.ijhydene.2008.12.001")</f>
        <v>http://dx.doi.org/10.1016/j.ijhydene.2008.12.001</v>
      </c>
      <c r="BG25" s="1" t="s">
        <v>74</v>
      </c>
      <c r="BH25" s="1" t="s">
        <v>74</v>
      </c>
      <c r="BI25" s="1" t="s">
        <v>74</v>
      </c>
      <c r="BJ25" s="1" t="s">
        <v>74</v>
      </c>
      <c r="BK25" s="1" t="s">
        <v>74</v>
      </c>
      <c r="BL25" s="1" t="s">
        <v>74</v>
      </c>
      <c r="BM25" s="1" t="s">
        <v>74</v>
      </c>
      <c r="BN25" s="1" t="s">
        <v>74</v>
      </c>
      <c r="BO25" s="1" t="s">
        <v>74</v>
      </c>
      <c r="BP25" s="1" t="s">
        <v>74</v>
      </c>
      <c r="BQ25" s="1" t="s">
        <v>74</v>
      </c>
      <c r="BR25" s="1" t="s">
        <v>74</v>
      </c>
      <c r="BS25" s="1" t="s">
        <v>359</v>
      </c>
      <c r="BT25" s="1" t="str">
        <f>HYPERLINK("https%3A%2F%2Fwww.webofscience.com%2Fwos%2Fwoscc%2Ffull-record%2FWOS:000264355300021","View Full Record in Web of Science")</f>
        <v>View Full Record in Web of Science</v>
      </c>
    </row>
    <row r="26" ht="12.75" customHeight="1">
      <c r="A26" s="1" t="s">
        <v>72</v>
      </c>
      <c r="B26" s="1" t="s">
        <v>360</v>
      </c>
      <c r="C26" s="1" t="s">
        <v>74</v>
      </c>
      <c r="D26" s="1" t="s">
        <v>74</v>
      </c>
      <c r="E26" s="1" t="s">
        <v>74</v>
      </c>
      <c r="F26" s="1" t="s">
        <v>361</v>
      </c>
      <c r="G26" s="1" t="s">
        <v>74</v>
      </c>
      <c r="H26" s="1" t="s">
        <v>74</v>
      </c>
      <c r="I26" s="1" t="s">
        <v>362</v>
      </c>
      <c r="J26" s="1" t="s">
        <v>363</v>
      </c>
      <c r="K26" s="1" t="s">
        <v>74</v>
      </c>
      <c r="L26" s="1" t="s">
        <v>74</v>
      </c>
      <c r="M26" s="1" t="s">
        <v>74</v>
      </c>
      <c r="N26" s="1" t="s">
        <v>74</v>
      </c>
      <c r="O26" s="1" t="s">
        <v>74</v>
      </c>
      <c r="P26" s="1" t="s">
        <v>74</v>
      </c>
      <c r="Q26" s="1" t="s">
        <v>74</v>
      </c>
      <c r="R26" s="1" t="s">
        <v>74</v>
      </c>
      <c r="S26" s="1" t="s">
        <v>74</v>
      </c>
      <c r="T26" s="1" t="s">
        <v>74</v>
      </c>
      <c r="U26" s="1" t="s">
        <v>74</v>
      </c>
      <c r="V26" s="1" t="s">
        <v>364</v>
      </c>
      <c r="W26" s="1" t="s">
        <v>74</v>
      </c>
      <c r="X26" s="1" t="s">
        <v>74</v>
      </c>
      <c r="Y26" s="1" t="s">
        <v>74</v>
      </c>
      <c r="Z26" s="1" t="s">
        <v>74</v>
      </c>
      <c r="AA26" s="1" t="s">
        <v>365</v>
      </c>
      <c r="AB26" s="1" t="s">
        <v>366</v>
      </c>
      <c r="AC26" s="1" t="s">
        <v>74</v>
      </c>
      <c r="AD26" s="1" t="s">
        <v>74</v>
      </c>
      <c r="AE26" s="1" t="s">
        <v>74</v>
      </c>
      <c r="AF26" s="1" t="s">
        <v>74</v>
      </c>
      <c r="AG26" s="1" t="s">
        <v>74</v>
      </c>
      <c r="AH26" s="1" t="s">
        <v>74</v>
      </c>
      <c r="AI26" s="1" t="s">
        <v>74</v>
      </c>
      <c r="AJ26" s="1" t="s">
        <v>74</v>
      </c>
      <c r="AK26" s="1" t="s">
        <v>74</v>
      </c>
      <c r="AL26" s="1" t="s">
        <v>74</v>
      </c>
      <c r="AM26" s="1" t="s">
        <v>74</v>
      </c>
      <c r="AN26" s="1" t="s">
        <v>74</v>
      </c>
      <c r="AO26" s="1" t="s">
        <v>367</v>
      </c>
      <c r="AP26" s="1" t="s">
        <v>368</v>
      </c>
      <c r="AQ26" s="1" t="s">
        <v>74</v>
      </c>
      <c r="AR26" s="1" t="s">
        <v>74</v>
      </c>
      <c r="AS26" s="1" t="s">
        <v>74</v>
      </c>
      <c r="AT26" s="1" t="s">
        <v>369</v>
      </c>
      <c r="AU26" s="1">
        <v>2024.0</v>
      </c>
      <c r="AV26" s="1">
        <v>17.0</v>
      </c>
      <c r="AW26" s="1">
        <v>9.0</v>
      </c>
      <c r="AX26" s="1" t="s">
        <v>74</v>
      </c>
      <c r="AY26" s="1" t="s">
        <v>74</v>
      </c>
      <c r="AZ26" s="1" t="s">
        <v>74</v>
      </c>
      <c r="BA26" s="1" t="s">
        <v>74</v>
      </c>
      <c r="BB26" s="1">
        <v>13001.0</v>
      </c>
      <c r="BC26" s="1">
        <v>13017.0</v>
      </c>
      <c r="BD26" s="1" t="s">
        <v>74</v>
      </c>
      <c r="BE26" s="1" t="s">
        <v>370</v>
      </c>
      <c r="BF26" s="2" t="str">
        <f>HYPERLINK("http://dx.doi.org/10.1021/acsami.3c18038","http://dx.doi.org/10.1021/acsami.3c18038")</f>
        <v>http://dx.doi.org/10.1021/acsami.3c18038</v>
      </c>
      <c r="BG26" s="1" t="s">
        <v>74</v>
      </c>
      <c r="BH26" s="1" t="s">
        <v>371</v>
      </c>
      <c r="BI26" s="1" t="s">
        <v>74</v>
      </c>
      <c r="BJ26" s="1" t="s">
        <v>74</v>
      </c>
      <c r="BK26" s="1" t="s">
        <v>74</v>
      </c>
      <c r="BL26" s="1" t="s">
        <v>74</v>
      </c>
      <c r="BM26" s="1" t="s">
        <v>74</v>
      </c>
      <c r="BN26" s="1">
        <v>3.864046E7</v>
      </c>
      <c r="BO26" s="1" t="s">
        <v>74</v>
      </c>
      <c r="BP26" s="1" t="s">
        <v>74</v>
      </c>
      <c r="BQ26" s="1" t="s">
        <v>74</v>
      </c>
      <c r="BR26" s="1" t="s">
        <v>74</v>
      </c>
      <c r="BS26" s="1" t="s">
        <v>372</v>
      </c>
      <c r="BT26" s="1" t="str">
        <f>HYPERLINK("https%3A%2F%2Fwww.webofscience.com%2Fwos%2Fwoscc%2Ffull-record%2FWOS:001242267400001","View Full Record in Web of Science")</f>
        <v>View Full Record in Web of Science</v>
      </c>
    </row>
    <row r="27" ht="12.75" customHeight="1">
      <c r="A27" s="1" t="s">
        <v>72</v>
      </c>
      <c r="B27" s="1" t="s">
        <v>373</v>
      </c>
      <c r="C27" s="1" t="s">
        <v>74</v>
      </c>
      <c r="D27" s="1" t="s">
        <v>74</v>
      </c>
      <c r="E27" s="1" t="s">
        <v>74</v>
      </c>
      <c r="F27" s="1" t="s">
        <v>374</v>
      </c>
      <c r="G27" s="1" t="s">
        <v>74</v>
      </c>
      <c r="H27" s="1" t="s">
        <v>74</v>
      </c>
      <c r="I27" s="1" t="s">
        <v>375</v>
      </c>
      <c r="J27" s="1" t="s">
        <v>376</v>
      </c>
      <c r="K27" s="1" t="s">
        <v>74</v>
      </c>
      <c r="L27" s="1" t="s">
        <v>74</v>
      </c>
      <c r="M27" s="1" t="s">
        <v>74</v>
      </c>
      <c r="N27" s="1" t="s">
        <v>74</v>
      </c>
      <c r="O27" s="1" t="s">
        <v>74</v>
      </c>
      <c r="P27" s="1" t="s">
        <v>74</v>
      </c>
      <c r="Q27" s="1" t="s">
        <v>74</v>
      </c>
      <c r="R27" s="1" t="s">
        <v>74</v>
      </c>
      <c r="S27" s="1" t="s">
        <v>74</v>
      </c>
      <c r="T27" s="1" t="s">
        <v>74</v>
      </c>
      <c r="U27" s="1" t="s">
        <v>74</v>
      </c>
      <c r="V27" s="1" t="s">
        <v>377</v>
      </c>
      <c r="W27" s="1" t="s">
        <v>74</v>
      </c>
      <c r="X27" s="1" t="s">
        <v>74</v>
      </c>
      <c r="Y27" s="1" t="s">
        <v>74</v>
      </c>
      <c r="Z27" s="1" t="s">
        <v>74</v>
      </c>
      <c r="AA27" s="1" t="s">
        <v>378</v>
      </c>
      <c r="AB27" s="1" t="s">
        <v>379</v>
      </c>
      <c r="AC27" s="1" t="s">
        <v>74</v>
      </c>
      <c r="AD27" s="1" t="s">
        <v>74</v>
      </c>
      <c r="AE27" s="1" t="s">
        <v>74</v>
      </c>
      <c r="AF27" s="1" t="s">
        <v>74</v>
      </c>
      <c r="AG27" s="1" t="s">
        <v>74</v>
      </c>
      <c r="AH27" s="1" t="s">
        <v>74</v>
      </c>
      <c r="AI27" s="1" t="s">
        <v>74</v>
      </c>
      <c r="AJ27" s="1" t="s">
        <v>74</v>
      </c>
      <c r="AK27" s="1" t="s">
        <v>74</v>
      </c>
      <c r="AL27" s="1" t="s">
        <v>74</v>
      </c>
      <c r="AM27" s="1" t="s">
        <v>74</v>
      </c>
      <c r="AN27" s="1" t="s">
        <v>74</v>
      </c>
      <c r="AO27" s="1" t="s">
        <v>380</v>
      </c>
      <c r="AP27" s="1" t="s">
        <v>74</v>
      </c>
      <c r="AQ27" s="1" t="s">
        <v>74</v>
      </c>
      <c r="AR27" s="1" t="s">
        <v>74</v>
      </c>
      <c r="AS27" s="1" t="s">
        <v>74</v>
      </c>
      <c r="AT27" s="1" t="s">
        <v>202</v>
      </c>
      <c r="AU27" s="1">
        <v>2023.0</v>
      </c>
      <c r="AV27" s="1">
        <v>7.0</v>
      </c>
      <c r="AW27" s="1">
        <v>6.0</v>
      </c>
      <c r="AX27" s="1" t="s">
        <v>74</v>
      </c>
      <c r="AY27" s="1" t="s">
        <v>74</v>
      </c>
      <c r="AZ27" s="1" t="s">
        <v>74</v>
      </c>
      <c r="BA27" s="1" t="s">
        <v>74</v>
      </c>
      <c r="BB27" s="1" t="s">
        <v>74</v>
      </c>
      <c r="BC27" s="1" t="s">
        <v>74</v>
      </c>
      <c r="BD27" s="1">
        <v>256.0</v>
      </c>
      <c r="BE27" s="1" t="s">
        <v>381</v>
      </c>
      <c r="BF27" s="2" t="str">
        <f>HYPERLINK("http://dx.doi.org/10.3390/jcs7060256","http://dx.doi.org/10.3390/jcs7060256")</f>
        <v>http://dx.doi.org/10.3390/jcs7060256</v>
      </c>
      <c r="BG27" s="1" t="s">
        <v>74</v>
      </c>
      <c r="BH27" s="1" t="s">
        <v>74</v>
      </c>
      <c r="BI27" s="1" t="s">
        <v>74</v>
      </c>
      <c r="BJ27" s="1" t="s">
        <v>74</v>
      </c>
      <c r="BK27" s="1" t="s">
        <v>74</v>
      </c>
      <c r="BL27" s="1" t="s">
        <v>74</v>
      </c>
      <c r="BM27" s="1" t="s">
        <v>74</v>
      </c>
      <c r="BN27" s="1" t="s">
        <v>74</v>
      </c>
      <c r="BO27" s="1" t="s">
        <v>74</v>
      </c>
      <c r="BP27" s="1" t="s">
        <v>74</v>
      </c>
      <c r="BQ27" s="1" t="s">
        <v>74</v>
      </c>
      <c r="BR27" s="1" t="s">
        <v>74</v>
      </c>
      <c r="BS27" s="1" t="s">
        <v>382</v>
      </c>
      <c r="BT27" s="1" t="str">
        <f>HYPERLINK("https%3A%2F%2Fwww.webofscience.com%2Fwos%2Fwoscc%2Ffull-record%2FWOS:001017397500001","View Full Record in Web of Science")</f>
        <v>View Full Record in Web of Science</v>
      </c>
    </row>
    <row r="28" ht="12.75" customHeight="1">
      <c r="A28" s="1" t="s">
        <v>72</v>
      </c>
      <c r="B28" s="1" t="s">
        <v>383</v>
      </c>
      <c r="C28" s="1" t="s">
        <v>74</v>
      </c>
      <c r="D28" s="1" t="s">
        <v>74</v>
      </c>
      <c r="E28" s="1" t="s">
        <v>74</v>
      </c>
      <c r="F28" s="1" t="s">
        <v>384</v>
      </c>
      <c r="G28" s="1" t="s">
        <v>74</v>
      </c>
      <c r="H28" s="1" t="s">
        <v>74</v>
      </c>
      <c r="I28" s="1" t="s">
        <v>385</v>
      </c>
      <c r="J28" s="1" t="s">
        <v>386</v>
      </c>
      <c r="K28" s="1" t="s">
        <v>74</v>
      </c>
      <c r="L28" s="1" t="s">
        <v>74</v>
      </c>
      <c r="M28" s="1" t="s">
        <v>74</v>
      </c>
      <c r="N28" s="1" t="s">
        <v>74</v>
      </c>
      <c r="O28" s="1" t="s">
        <v>74</v>
      </c>
      <c r="P28" s="1" t="s">
        <v>74</v>
      </c>
      <c r="Q28" s="1" t="s">
        <v>74</v>
      </c>
      <c r="R28" s="1" t="s">
        <v>74</v>
      </c>
      <c r="S28" s="1" t="s">
        <v>74</v>
      </c>
      <c r="T28" s="1" t="s">
        <v>74</v>
      </c>
      <c r="U28" s="1" t="s">
        <v>74</v>
      </c>
      <c r="V28" s="1" t="s">
        <v>387</v>
      </c>
      <c r="W28" s="1" t="s">
        <v>74</v>
      </c>
      <c r="X28" s="1" t="s">
        <v>74</v>
      </c>
      <c r="Y28" s="1" t="s">
        <v>74</v>
      </c>
      <c r="Z28" s="1" t="s">
        <v>74</v>
      </c>
      <c r="AA28" s="1" t="s">
        <v>388</v>
      </c>
      <c r="AB28" s="1" t="s">
        <v>389</v>
      </c>
      <c r="AC28" s="1" t="s">
        <v>74</v>
      </c>
      <c r="AD28" s="1" t="s">
        <v>74</v>
      </c>
      <c r="AE28" s="1" t="s">
        <v>74</v>
      </c>
      <c r="AF28" s="1" t="s">
        <v>74</v>
      </c>
      <c r="AG28" s="1" t="s">
        <v>74</v>
      </c>
      <c r="AH28" s="1" t="s">
        <v>74</v>
      </c>
      <c r="AI28" s="1" t="s">
        <v>74</v>
      </c>
      <c r="AJ28" s="1" t="s">
        <v>74</v>
      </c>
      <c r="AK28" s="1" t="s">
        <v>74</v>
      </c>
      <c r="AL28" s="1" t="s">
        <v>74</v>
      </c>
      <c r="AM28" s="1" t="s">
        <v>74</v>
      </c>
      <c r="AN28" s="1" t="s">
        <v>74</v>
      </c>
      <c r="AO28" s="1" t="s">
        <v>390</v>
      </c>
      <c r="AP28" s="1" t="s">
        <v>391</v>
      </c>
      <c r="AQ28" s="1" t="s">
        <v>74</v>
      </c>
      <c r="AR28" s="1" t="s">
        <v>74</v>
      </c>
      <c r="AS28" s="1" t="s">
        <v>74</v>
      </c>
      <c r="AT28" s="1" t="s">
        <v>392</v>
      </c>
      <c r="AU28" s="1">
        <v>2020.0</v>
      </c>
      <c r="AV28" s="1">
        <v>222.0</v>
      </c>
      <c r="AW28" s="1" t="s">
        <v>74</v>
      </c>
      <c r="AX28" s="1" t="s">
        <v>74</v>
      </c>
      <c r="AY28" s="1" t="s">
        <v>74</v>
      </c>
      <c r="AZ28" s="1" t="s">
        <v>74</v>
      </c>
      <c r="BA28" s="1" t="s">
        <v>74</v>
      </c>
      <c r="BB28" s="1" t="s">
        <v>74</v>
      </c>
      <c r="BC28" s="1" t="s">
        <v>74</v>
      </c>
      <c r="BD28" s="1">
        <v>107495.0</v>
      </c>
      <c r="BE28" s="1" t="s">
        <v>393</v>
      </c>
      <c r="BF28" s="2" t="str">
        <f>HYPERLINK("http://dx.doi.org/10.1016/j.ijpe.2019.09.016","http://dx.doi.org/10.1016/j.ijpe.2019.09.016")</f>
        <v>http://dx.doi.org/10.1016/j.ijpe.2019.09.016</v>
      </c>
      <c r="BG28" s="1" t="s">
        <v>74</v>
      </c>
      <c r="BH28" s="1" t="s">
        <v>74</v>
      </c>
      <c r="BI28" s="1" t="s">
        <v>74</v>
      </c>
      <c r="BJ28" s="1" t="s">
        <v>74</v>
      </c>
      <c r="BK28" s="1" t="s">
        <v>74</v>
      </c>
      <c r="BL28" s="1" t="s">
        <v>74</v>
      </c>
      <c r="BM28" s="1" t="s">
        <v>74</v>
      </c>
      <c r="BN28" s="1" t="s">
        <v>74</v>
      </c>
      <c r="BO28" s="1" t="s">
        <v>74</v>
      </c>
      <c r="BP28" s="1" t="s">
        <v>74</v>
      </c>
      <c r="BQ28" s="1" t="s">
        <v>74</v>
      </c>
      <c r="BR28" s="1" t="s">
        <v>74</v>
      </c>
      <c r="BS28" s="1" t="s">
        <v>394</v>
      </c>
      <c r="BT28" s="1" t="str">
        <f>HYPERLINK("https%3A%2F%2Fwww.webofscience.com%2Fwos%2Fwoscc%2Ffull-record%2FWOS:000525321500020","View Full Record in Web of Science")</f>
        <v>View Full Record in Web of Science</v>
      </c>
    </row>
    <row r="29" ht="12.75" customHeight="1">
      <c r="A29" s="1" t="s">
        <v>72</v>
      </c>
      <c r="B29" s="1" t="s">
        <v>395</v>
      </c>
      <c r="C29" s="1" t="s">
        <v>74</v>
      </c>
      <c r="D29" s="1" t="s">
        <v>74</v>
      </c>
      <c r="E29" s="1" t="s">
        <v>74</v>
      </c>
      <c r="F29" s="1" t="s">
        <v>396</v>
      </c>
      <c r="G29" s="1" t="s">
        <v>74</v>
      </c>
      <c r="H29" s="1" t="s">
        <v>74</v>
      </c>
      <c r="I29" s="1" t="s">
        <v>397</v>
      </c>
      <c r="J29" s="1" t="s">
        <v>398</v>
      </c>
      <c r="K29" s="1" t="s">
        <v>74</v>
      </c>
      <c r="L29" s="1" t="s">
        <v>74</v>
      </c>
      <c r="M29" s="1" t="s">
        <v>74</v>
      </c>
      <c r="N29" s="1" t="s">
        <v>74</v>
      </c>
      <c r="O29" s="1" t="s">
        <v>74</v>
      </c>
      <c r="P29" s="1" t="s">
        <v>74</v>
      </c>
      <c r="Q29" s="1" t="s">
        <v>74</v>
      </c>
      <c r="R29" s="1" t="s">
        <v>74</v>
      </c>
      <c r="S29" s="1" t="s">
        <v>74</v>
      </c>
      <c r="T29" s="1" t="s">
        <v>74</v>
      </c>
      <c r="U29" s="1" t="s">
        <v>74</v>
      </c>
      <c r="V29" s="1" t="s">
        <v>399</v>
      </c>
      <c r="W29" s="1" t="s">
        <v>74</v>
      </c>
      <c r="X29" s="1" t="s">
        <v>74</v>
      </c>
      <c r="Y29" s="1" t="s">
        <v>74</v>
      </c>
      <c r="Z29" s="1" t="s">
        <v>74</v>
      </c>
      <c r="AA29" s="1" t="s">
        <v>400</v>
      </c>
      <c r="AB29" s="1" t="s">
        <v>401</v>
      </c>
      <c r="AC29" s="1" t="s">
        <v>74</v>
      </c>
      <c r="AD29" s="1" t="s">
        <v>74</v>
      </c>
      <c r="AE29" s="1" t="s">
        <v>74</v>
      </c>
      <c r="AF29" s="1" t="s">
        <v>74</v>
      </c>
      <c r="AG29" s="1" t="s">
        <v>74</v>
      </c>
      <c r="AH29" s="1" t="s">
        <v>74</v>
      </c>
      <c r="AI29" s="1" t="s">
        <v>74</v>
      </c>
      <c r="AJ29" s="1" t="s">
        <v>74</v>
      </c>
      <c r="AK29" s="1" t="s">
        <v>74</v>
      </c>
      <c r="AL29" s="1" t="s">
        <v>74</v>
      </c>
      <c r="AM29" s="1" t="s">
        <v>74</v>
      </c>
      <c r="AN29" s="1" t="s">
        <v>74</v>
      </c>
      <c r="AO29" s="1" t="s">
        <v>402</v>
      </c>
      <c r="AP29" s="1" t="s">
        <v>403</v>
      </c>
      <c r="AQ29" s="1" t="s">
        <v>74</v>
      </c>
      <c r="AR29" s="1" t="s">
        <v>74</v>
      </c>
      <c r="AS29" s="1" t="s">
        <v>74</v>
      </c>
      <c r="AT29" s="1" t="s">
        <v>82</v>
      </c>
      <c r="AU29" s="1">
        <v>2016.0</v>
      </c>
      <c r="AV29" s="1">
        <v>9.0</v>
      </c>
      <c r="AW29" s="1">
        <v>8.0</v>
      </c>
      <c r="AX29" s="1" t="s">
        <v>74</v>
      </c>
      <c r="AY29" s="1" t="s">
        <v>74</v>
      </c>
      <c r="AZ29" s="1" t="s">
        <v>74</v>
      </c>
      <c r="BA29" s="1" t="s">
        <v>74</v>
      </c>
      <c r="BB29" s="1">
        <v>3641.0</v>
      </c>
      <c r="BC29" s="1">
        <v>3659.0</v>
      </c>
      <c r="BD29" s="1" t="s">
        <v>74</v>
      </c>
      <c r="BE29" s="1" t="s">
        <v>404</v>
      </c>
      <c r="BF29" s="2" t="str">
        <f>HYPERLINK("http://dx.doi.org/10.5194/amt-9-3641-2016","http://dx.doi.org/10.5194/amt-9-3641-2016")</f>
        <v>http://dx.doi.org/10.5194/amt-9-3641-2016</v>
      </c>
      <c r="BG29" s="1" t="s">
        <v>74</v>
      </c>
      <c r="BH29" s="1" t="s">
        <v>74</v>
      </c>
      <c r="BI29" s="1" t="s">
        <v>74</v>
      </c>
      <c r="BJ29" s="1" t="s">
        <v>74</v>
      </c>
      <c r="BK29" s="1" t="s">
        <v>74</v>
      </c>
      <c r="BL29" s="1" t="s">
        <v>74</v>
      </c>
      <c r="BM29" s="1" t="s">
        <v>74</v>
      </c>
      <c r="BN29" s="1" t="s">
        <v>74</v>
      </c>
      <c r="BO29" s="1" t="s">
        <v>74</v>
      </c>
      <c r="BP29" s="1" t="s">
        <v>74</v>
      </c>
      <c r="BQ29" s="1" t="s">
        <v>74</v>
      </c>
      <c r="BR29" s="1" t="s">
        <v>74</v>
      </c>
      <c r="BS29" s="1" t="s">
        <v>405</v>
      </c>
      <c r="BT29" s="1" t="str">
        <f>HYPERLINK("https%3A%2F%2Fwww.webofscience.com%2Fwos%2Fwoscc%2Ffull-record%2FWOS:000383146000002","View Full Record in Web of Science")</f>
        <v>View Full Record in Web of Science</v>
      </c>
    </row>
    <row r="30" ht="12.75" customHeight="1">
      <c r="A30" s="1" t="s">
        <v>72</v>
      </c>
      <c r="B30" s="1" t="s">
        <v>406</v>
      </c>
      <c r="C30" s="1" t="s">
        <v>74</v>
      </c>
      <c r="D30" s="1" t="s">
        <v>74</v>
      </c>
      <c r="E30" s="1" t="s">
        <v>74</v>
      </c>
      <c r="F30" s="1" t="s">
        <v>407</v>
      </c>
      <c r="G30" s="1" t="s">
        <v>74</v>
      </c>
      <c r="H30" s="1" t="s">
        <v>74</v>
      </c>
      <c r="I30" s="1" t="s">
        <v>408</v>
      </c>
      <c r="J30" s="1" t="s">
        <v>409</v>
      </c>
      <c r="K30" s="1" t="s">
        <v>74</v>
      </c>
      <c r="L30" s="1" t="s">
        <v>74</v>
      </c>
      <c r="M30" s="1" t="s">
        <v>74</v>
      </c>
      <c r="N30" s="1" t="s">
        <v>74</v>
      </c>
      <c r="O30" s="1" t="s">
        <v>74</v>
      </c>
      <c r="P30" s="1" t="s">
        <v>74</v>
      </c>
      <c r="Q30" s="1" t="s">
        <v>74</v>
      </c>
      <c r="R30" s="1" t="s">
        <v>74</v>
      </c>
      <c r="S30" s="1" t="s">
        <v>74</v>
      </c>
      <c r="T30" s="1" t="s">
        <v>74</v>
      </c>
      <c r="U30" s="1" t="s">
        <v>74</v>
      </c>
      <c r="V30" s="1" t="s">
        <v>410</v>
      </c>
      <c r="W30" s="1" t="s">
        <v>74</v>
      </c>
      <c r="X30" s="1" t="s">
        <v>74</v>
      </c>
      <c r="Y30" s="1" t="s">
        <v>74</v>
      </c>
      <c r="Z30" s="1" t="s">
        <v>74</v>
      </c>
      <c r="AA30" s="1" t="s">
        <v>411</v>
      </c>
      <c r="AB30" s="1" t="s">
        <v>412</v>
      </c>
      <c r="AC30" s="1" t="s">
        <v>74</v>
      </c>
      <c r="AD30" s="1" t="s">
        <v>74</v>
      </c>
      <c r="AE30" s="1" t="s">
        <v>74</v>
      </c>
      <c r="AF30" s="1" t="s">
        <v>74</v>
      </c>
      <c r="AG30" s="1" t="s">
        <v>74</v>
      </c>
      <c r="AH30" s="1" t="s">
        <v>74</v>
      </c>
      <c r="AI30" s="1" t="s">
        <v>74</v>
      </c>
      <c r="AJ30" s="1" t="s">
        <v>74</v>
      </c>
      <c r="AK30" s="1" t="s">
        <v>74</v>
      </c>
      <c r="AL30" s="1" t="s">
        <v>74</v>
      </c>
      <c r="AM30" s="1" t="s">
        <v>74</v>
      </c>
      <c r="AN30" s="1" t="s">
        <v>74</v>
      </c>
      <c r="AO30" s="1" t="s">
        <v>413</v>
      </c>
      <c r="AP30" s="1" t="s">
        <v>414</v>
      </c>
      <c r="AQ30" s="1" t="s">
        <v>74</v>
      </c>
      <c r="AR30" s="1" t="s">
        <v>74</v>
      </c>
      <c r="AS30" s="1" t="s">
        <v>74</v>
      </c>
      <c r="AT30" s="1" t="s">
        <v>264</v>
      </c>
      <c r="AU30" s="1">
        <v>2015.0</v>
      </c>
      <c r="AV30" s="1">
        <v>489.0</v>
      </c>
      <c r="AW30" s="1" t="s">
        <v>74</v>
      </c>
      <c r="AX30" s="1" t="s">
        <v>74</v>
      </c>
      <c r="AY30" s="1" t="s">
        <v>74</v>
      </c>
      <c r="AZ30" s="1" t="s">
        <v>74</v>
      </c>
      <c r="BA30" s="1" t="s">
        <v>74</v>
      </c>
      <c r="BB30" s="1">
        <v>255.0</v>
      </c>
      <c r="BC30" s="1">
        <v>261.0</v>
      </c>
      <c r="BD30" s="1" t="s">
        <v>74</v>
      </c>
      <c r="BE30" s="1" t="s">
        <v>415</v>
      </c>
      <c r="BF30" s="2" t="str">
        <f>HYPERLINK("http://dx.doi.org/10.1016/j.apcata.2014.10.051","http://dx.doi.org/10.1016/j.apcata.2014.10.051")</f>
        <v>http://dx.doi.org/10.1016/j.apcata.2014.10.051</v>
      </c>
      <c r="BG30" s="1" t="s">
        <v>74</v>
      </c>
      <c r="BH30" s="1" t="s">
        <v>74</v>
      </c>
      <c r="BI30" s="1" t="s">
        <v>74</v>
      </c>
      <c r="BJ30" s="1" t="s">
        <v>74</v>
      </c>
      <c r="BK30" s="1" t="s">
        <v>74</v>
      </c>
      <c r="BL30" s="1" t="s">
        <v>74</v>
      </c>
      <c r="BM30" s="1" t="s">
        <v>74</v>
      </c>
      <c r="BN30" s="1" t="s">
        <v>74</v>
      </c>
      <c r="BO30" s="1" t="s">
        <v>74</v>
      </c>
      <c r="BP30" s="1" t="s">
        <v>74</v>
      </c>
      <c r="BQ30" s="1" t="s">
        <v>74</v>
      </c>
      <c r="BR30" s="1" t="s">
        <v>74</v>
      </c>
      <c r="BS30" s="1" t="s">
        <v>416</v>
      </c>
      <c r="BT30" s="1" t="str">
        <f>HYPERLINK("https%3A%2F%2Fwww.webofscience.com%2Fwos%2Fwoscc%2Ffull-record%2FWOS:000347497500031","View Full Record in Web of Science")</f>
        <v>View Full Record in Web of Science</v>
      </c>
    </row>
    <row r="31" ht="12.75" customHeight="1">
      <c r="A31" s="1" t="s">
        <v>72</v>
      </c>
      <c r="B31" s="1" t="s">
        <v>417</v>
      </c>
      <c r="C31" s="1" t="s">
        <v>74</v>
      </c>
      <c r="D31" s="1" t="s">
        <v>74</v>
      </c>
      <c r="E31" s="1" t="s">
        <v>74</v>
      </c>
      <c r="F31" s="1" t="s">
        <v>418</v>
      </c>
      <c r="G31" s="1" t="s">
        <v>74</v>
      </c>
      <c r="H31" s="1" t="s">
        <v>74</v>
      </c>
      <c r="I31" s="1" t="s">
        <v>419</v>
      </c>
      <c r="J31" s="1" t="s">
        <v>420</v>
      </c>
      <c r="K31" s="1" t="s">
        <v>74</v>
      </c>
      <c r="L31" s="1" t="s">
        <v>74</v>
      </c>
      <c r="M31" s="1" t="s">
        <v>74</v>
      </c>
      <c r="N31" s="1" t="s">
        <v>74</v>
      </c>
      <c r="O31" s="1" t="s">
        <v>74</v>
      </c>
      <c r="P31" s="1" t="s">
        <v>74</v>
      </c>
      <c r="Q31" s="1" t="s">
        <v>74</v>
      </c>
      <c r="R31" s="1" t="s">
        <v>74</v>
      </c>
      <c r="S31" s="1" t="s">
        <v>74</v>
      </c>
      <c r="T31" s="1" t="s">
        <v>74</v>
      </c>
      <c r="U31" s="1" t="s">
        <v>74</v>
      </c>
      <c r="V31" s="1" t="s">
        <v>421</v>
      </c>
      <c r="W31" s="1" t="s">
        <v>74</v>
      </c>
      <c r="X31" s="1" t="s">
        <v>74</v>
      </c>
      <c r="Y31" s="1" t="s">
        <v>74</v>
      </c>
      <c r="Z31" s="1" t="s">
        <v>74</v>
      </c>
      <c r="AA31" s="1" t="s">
        <v>422</v>
      </c>
      <c r="AB31" s="1" t="s">
        <v>423</v>
      </c>
      <c r="AC31" s="1" t="s">
        <v>74</v>
      </c>
      <c r="AD31" s="1" t="s">
        <v>74</v>
      </c>
      <c r="AE31" s="1" t="s">
        <v>74</v>
      </c>
      <c r="AF31" s="1" t="s">
        <v>74</v>
      </c>
      <c r="AG31" s="1" t="s">
        <v>74</v>
      </c>
      <c r="AH31" s="1" t="s">
        <v>74</v>
      </c>
      <c r="AI31" s="1" t="s">
        <v>74</v>
      </c>
      <c r="AJ31" s="1" t="s">
        <v>74</v>
      </c>
      <c r="AK31" s="1" t="s">
        <v>74</v>
      </c>
      <c r="AL31" s="1" t="s">
        <v>74</v>
      </c>
      <c r="AM31" s="1" t="s">
        <v>74</v>
      </c>
      <c r="AN31" s="1" t="s">
        <v>74</v>
      </c>
      <c r="AO31" s="1" t="s">
        <v>424</v>
      </c>
      <c r="AP31" s="1" t="s">
        <v>425</v>
      </c>
      <c r="AQ31" s="1" t="s">
        <v>74</v>
      </c>
      <c r="AR31" s="1" t="s">
        <v>74</v>
      </c>
      <c r="AS31" s="1" t="s">
        <v>74</v>
      </c>
      <c r="AT31" s="1" t="s">
        <v>426</v>
      </c>
      <c r="AU31" s="1">
        <v>2024.0</v>
      </c>
      <c r="AV31" s="1">
        <v>148.0</v>
      </c>
      <c r="AW31" s="1" t="s">
        <v>74</v>
      </c>
      <c r="AX31" s="1" t="s">
        <v>74</v>
      </c>
      <c r="AY31" s="1" t="s">
        <v>74</v>
      </c>
      <c r="AZ31" s="1" t="s">
        <v>74</v>
      </c>
      <c r="BA31" s="1" t="s">
        <v>74</v>
      </c>
      <c r="BB31" s="1" t="s">
        <v>74</v>
      </c>
      <c r="BC31" s="1" t="s">
        <v>74</v>
      </c>
      <c r="BD31" s="1">
        <v>105159.0</v>
      </c>
      <c r="BE31" s="1" t="s">
        <v>427</v>
      </c>
      <c r="BF31" s="2" t="str">
        <f>HYPERLINK("http://dx.doi.org/10.1016/j.jsames.2024.105159","http://dx.doi.org/10.1016/j.jsames.2024.105159")</f>
        <v>http://dx.doi.org/10.1016/j.jsames.2024.105159</v>
      </c>
      <c r="BG31" s="1" t="s">
        <v>74</v>
      </c>
      <c r="BH31" s="1" t="s">
        <v>428</v>
      </c>
      <c r="BI31" s="1" t="s">
        <v>74</v>
      </c>
      <c r="BJ31" s="1" t="s">
        <v>74</v>
      </c>
      <c r="BK31" s="1" t="s">
        <v>74</v>
      </c>
      <c r="BL31" s="1" t="s">
        <v>74</v>
      </c>
      <c r="BM31" s="1" t="s">
        <v>74</v>
      </c>
      <c r="BN31" s="1" t="s">
        <v>74</v>
      </c>
      <c r="BO31" s="1" t="s">
        <v>74</v>
      </c>
      <c r="BP31" s="1" t="s">
        <v>74</v>
      </c>
      <c r="BQ31" s="1" t="s">
        <v>74</v>
      </c>
      <c r="BR31" s="1" t="s">
        <v>74</v>
      </c>
      <c r="BS31" s="1" t="s">
        <v>429</v>
      </c>
      <c r="BT31" s="1" t="str">
        <f>HYPERLINK("https%3A%2F%2Fwww.webofscience.com%2Fwos%2Fwoscc%2Ffull-record%2FWOS:001334207900001","View Full Record in Web of Science")</f>
        <v>View Full Record in Web of Science</v>
      </c>
    </row>
    <row r="32" ht="12.75" customHeight="1">
      <c r="A32" s="1" t="s">
        <v>72</v>
      </c>
      <c r="B32" s="1" t="s">
        <v>430</v>
      </c>
      <c r="C32" s="1" t="s">
        <v>74</v>
      </c>
      <c r="D32" s="1" t="s">
        <v>74</v>
      </c>
      <c r="E32" s="1" t="s">
        <v>74</v>
      </c>
      <c r="F32" s="1" t="s">
        <v>431</v>
      </c>
      <c r="G32" s="1" t="s">
        <v>74</v>
      </c>
      <c r="H32" s="1" t="s">
        <v>74</v>
      </c>
      <c r="I32" s="1" t="s">
        <v>432</v>
      </c>
      <c r="J32" s="1" t="s">
        <v>433</v>
      </c>
      <c r="K32" s="1" t="s">
        <v>74</v>
      </c>
      <c r="L32" s="1" t="s">
        <v>74</v>
      </c>
      <c r="M32" s="1" t="s">
        <v>74</v>
      </c>
      <c r="N32" s="1" t="s">
        <v>74</v>
      </c>
      <c r="O32" s="1" t="s">
        <v>74</v>
      </c>
      <c r="P32" s="1" t="s">
        <v>74</v>
      </c>
      <c r="Q32" s="1" t="s">
        <v>74</v>
      </c>
      <c r="R32" s="1" t="s">
        <v>74</v>
      </c>
      <c r="S32" s="1" t="s">
        <v>74</v>
      </c>
      <c r="T32" s="1" t="s">
        <v>74</v>
      </c>
      <c r="U32" s="1" t="s">
        <v>74</v>
      </c>
      <c r="V32" s="1" t="s">
        <v>434</v>
      </c>
      <c r="W32" s="1" t="s">
        <v>74</v>
      </c>
      <c r="X32" s="1" t="s">
        <v>74</v>
      </c>
      <c r="Y32" s="1" t="s">
        <v>74</v>
      </c>
      <c r="Z32" s="1" t="s">
        <v>74</v>
      </c>
      <c r="AA32" s="1" t="s">
        <v>435</v>
      </c>
      <c r="AB32" s="1" t="s">
        <v>436</v>
      </c>
      <c r="AC32" s="1" t="s">
        <v>74</v>
      </c>
      <c r="AD32" s="1" t="s">
        <v>74</v>
      </c>
      <c r="AE32" s="1" t="s">
        <v>74</v>
      </c>
      <c r="AF32" s="1" t="s">
        <v>74</v>
      </c>
      <c r="AG32" s="1" t="s">
        <v>74</v>
      </c>
      <c r="AH32" s="1" t="s">
        <v>74</v>
      </c>
      <c r="AI32" s="1" t="s">
        <v>74</v>
      </c>
      <c r="AJ32" s="1" t="s">
        <v>74</v>
      </c>
      <c r="AK32" s="1" t="s">
        <v>74</v>
      </c>
      <c r="AL32" s="1" t="s">
        <v>74</v>
      </c>
      <c r="AM32" s="1" t="s">
        <v>74</v>
      </c>
      <c r="AN32" s="1" t="s">
        <v>74</v>
      </c>
      <c r="AO32" s="1" t="s">
        <v>437</v>
      </c>
      <c r="AP32" s="1" t="s">
        <v>74</v>
      </c>
      <c r="AQ32" s="1" t="s">
        <v>74</v>
      </c>
      <c r="AR32" s="1" t="s">
        <v>74</v>
      </c>
      <c r="AS32" s="1" t="s">
        <v>74</v>
      </c>
      <c r="AT32" s="1" t="s">
        <v>118</v>
      </c>
      <c r="AU32" s="1">
        <v>2022.0</v>
      </c>
      <c r="AV32" s="1">
        <v>7.0</v>
      </c>
      <c r="AW32" s="1">
        <v>4.0</v>
      </c>
      <c r="AX32" s="1" t="s">
        <v>74</v>
      </c>
      <c r="AY32" s="1" t="s">
        <v>74</v>
      </c>
      <c r="AZ32" s="1" t="s">
        <v>74</v>
      </c>
      <c r="BA32" s="1" t="s">
        <v>74</v>
      </c>
      <c r="BB32" s="1" t="s">
        <v>74</v>
      </c>
      <c r="BC32" s="1" t="s">
        <v>74</v>
      </c>
      <c r="BD32" s="1">
        <v>45035.0</v>
      </c>
      <c r="BE32" s="1" t="s">
        <v>438</v>
      </c>
      <c r="BF32" s="2" t="str">
        <f>HYPERLINK("http://dx.doi.org/10.1088/2058-9565/ac91f0","http://dx.doi.org/10.1088/2058-9565/ac91f0")</f>
        <v>http://dx.doi.org/10.1088/2058-9565/ac91f0</v>
      </c>
      <c r="BG32" s="1" t="s">
        <v>74</v>
      </c>
      <c r="BH32" s="1" t="s">
        <v>74</v>
      </c>
      <c r="BI32" s="1" t="s">
        <v>74</v>
      </c>
      <c r="BJ32" s="1" t="s">
        <v>74</v>
      </c>
      <c r="BK32" s="1" t="s">
        <v>74</v>
      </c>
      <c r="BL32" s="1" t="s">
        <v>74</v>
      </c>
      <c r="BM32" s="1" t="s">
        <v>74</v>
      </c>
      <c r="BN32" s="1" t="s">
        <v>74</v>
      </c>
      <c r="BO32" s="1" t="s">
        <v>74</v>
      </c>
      <c r="BP32" s="1" t="s">
        <v>74</v>
      </c>
      <c r="BQ32" s="1" t="s">
        <v>74</v>
      </c>
      <c r="BR32" s="1" t="s">
        <v>74</v>
      </c>
      <c r="BS32" s="1" t="s">
        <v>439</v>
      </c>
      <c r="BT32" s="1" t="str">
        <f>HYPERLINK("https%3A%2F%2Fwww.webofscience.com%2Fwos%2Fwoscc%2Ffull-record%2FWOS:000859609000001","View Full Record in Web of Science")</f>
        <v>View Full Record in Web of Science</v>
      </c>
    </row>
    <row r="33" ht="12.75" customHeight="1">
      <c r="A33" s="1" t="s">
        <v>72</v>
      </c>
      <c r="B33" s="1" t="s">
        <v>440</v>
      </c>
      <c r="C33" s="1" t="s">
        <v>74</v>
      </c>
      <c r="D33" s="1" t="s">
        <v>74</v>
      </c>
      <c r="E33" s="1" t="s">
        <v>74</v>
      </c>
      <c r="F33" s="1" t="s">
        <v>441</v>
      </c>
      <c r="G33" s="1" t="s">
        <v>74</v>
      </c>
      <c r="H33" s="1" t="s">
        <v>74</v>
      </c>
      <c r="I33" s="1" t="s">
        <v>442</v>
      </c>
      <c r="J33" s="1" t="s">
        <v>443</v>
      </c>
      <c r="K33" s="1" t="s">
        <v>74</v>
      </c>
      <c r="L33" s="1" t="s">
        <v>74</v>
      </c>
      <c r="M33" s="1" t="s">
        <v>74</v>
      </c>
      <c r="N33" s="1" t="s">
        <v>74</v>
      </c>
      <c r="O33" s="1" t="s">
        <v>74</v>
      </c>
      <c r="P33" s="1" t="s">
        <v>74</v>
      </c>
      <c r="Q33" s="1" t="s">
        <v>74</v>
      </c>
      <c r="R33" s="1" t="s">
        <v>74</v>
      </c>
      <c r="S33" s="1" t="s">
        <v>74</v>
      </c>
      <c r="T33" s="1" t="s">
        <v>74</v>
      </c>
      <c r="U33" s="1" t="s">
        <v>74</v>
      </c>
      <c r="V33" s="1" t="s">
        <v>74</v>
      </c>
      <c r="W33" s="1" t="s">
        <v>74</v>
      </c>
      <c r="X33" s="1" t="s">
        <v>74</v>
      </c>
      <c r="Y33" s="1" t="s">
        <v>74</v>
      </c>
      <c r="Z33" s="1" t="s">
        <v>74</v>
      </c>
      <c r="AA33" s="1" t="s">
        <v>444</v>
      </c>
      <c r="AB33" s="1" t="s">
        <v>74</v>
      </c>
      <c r="AC33" s="1" t="s">
        <v>74</v>
      </c>
      <c r="AD33" s="1" t="s">
        <v>74</v>
      </c>
      <c r="AE33" s="1" t="s">
        <v>74</v>
      </c>
      <c r="AF33" s="1" t="s">
        <v>74</v>
      </c>
      <c r="AG33" s="1" t="s">
        <v>74</v>
      </c>
      <c r="AH33" s="1" t="s">
        <v>74</v>
      </c>
      <c r="AI33" s="1" t="s">
        <v>74</v>
      </c>
      <c r="AJ33" s="1" t="s">
        <v>74</v>
      </c>
      <c r="AK33" s="1" t="s">
        <v>74</v>
      </c>
      <c r="AL33" s="1" t="s">
        <v>74</v>
      </c>
      <c r="AM33" s="1" t="s">
        <v>74</v>
      </c>
      <c r="AN33" s="1" t="s">
        <v>74</v>
      </c>
      <c r="AO33" s="1" t="s">
        <v>445</v>
      </c>
      <c r="AP33" s="1" t="s">
        <v>446</v>
      </c>
      <c r="AQ33" s="1" t="s">
        <v>74</v>
      </c>
      <c r="AR33" s="1" t="s">
        <v>74</v>
      </c>
      <c r="AS33" s="1" t="s">
        <v>74</v>
      </c>
      <c r="AT33" s="1" t="s">
        <v>447</v>
      </c>
      <c r="AU33" s="1">
        <v>2022.0</v>
      </c>
      <c r="AV33" s="1">
        <v>162.0</v>
      </c>
      <c r="AW33" s="1" t="s">
        <v>74</v>
      </c>
      <c r="AX33" s="1" t="s">
        <v>74</v>
      </c>
      <c r="AY33" s="1">
        <v>1.0</v>
      </c>
      <c r="AZ33" s="1" t="s">
        <v>448</v>
      </c>
      <c r="BA33" s="1" t="s">
        <v>449</v>
      </c>
      <c r="BB33" s="1">
        <v>120.0</v>
      </c>
      <c r="BC33" s="1">
        <v>121.0</v>
      </c>
      <c r="BD33" s="1" t="s">
        <v>74</v>
      </c>
      <c r="BE33" s="1" t="s">
        <v>74</v>
      </c>
      <c r="BF33" s="1" t="s">
        <v>74</v>
      </c>
      <c r="BG33" s="1" t="s">
        <v>74</v>
      </c>
      <c r="BH33" s="1" t="s">
        <v>74</v>
      </c>
      <c r="BI33" s="1" t="s">
        <v>74</v>
      </c>
      <c r="BJ33" s="1" t="s">
        <v>74</v>
      </c>
      <c r="BK33" s="1" t="s">
        <v>74</v>
      </c>
      <c r="BL33" s="1" t="s">
        <v>74</v>
      </c>
      <c r="BM33" s="1" t="s">
        <v>74</v>
      </c>
      <c r="BN33" s="1" t="s">
        <v>74</v>
      </c>
      <c r="BO33" s="1" t="s">
        <v>74</v>
      </c>
      <c r="BP33" s="1" t="s">
        <v>74</v>
      </c>
      <c r="BQ33" s="1" t="s">
        <v>74</v>
      </c>
      <c r="BR33" s="1" t="s">
        <v>74</v>
      </c>
      <c r="BS33" s="1" t="s">
        <v>450</v>
      </c>
      <c r="BT33" s="1" t="str">
        <f>HYPERLINK("https%3A%2F%2Fwww.webofscience.com%2Fwos%2Fwoscc%2Ffull-record%2FWOS:000844569000282","View Full Record in Web of Science")</f>
        <v>View Full Record in Web of Science</v>
      </c>
    </row>
    <row r="34" ht="12.75" customHeight="1">
      <c r="A34" s="1" t="s">
        <v>72</v>
      </c>
      <c r="B34" s="1" t="s">
        <v>451</v>
      </c>
      <c r="C34" s="1" t="s">
        <v>74</v>
      </c>
      <c r="D34" s="1" t="s">
        <v>74</v>
      </c>
      <c r="E34" s="1" t="s">
        <v>74</v>
      </c>
      <c r="F34" s="1" t="s">
        <v>452</v>
      </c>
      <c r="G34" s="1" t="s">
        <v>74</v>
      </c>
      <c r="H34" s="1" t="s">
        <v>74</v>
      </c>
      <c r="I34" s="1" t="s">
        <v>453</v>
      </c>
      <c r="J34" s="1" t="s">
        <v>454</v>
      </c>
      <c r="K34" s="1" t="s">
        <v>74</v>
      </c>
      <c r="L34" s="1" t="s">
        <v>74</v>
      </c>
      <c r="M34" s="1" t="s">
        <v>74</v>
      </c>
      <c r="N34" s="1" t="s">
        <v>74</v>
      </c>
      <c r="O34" s="1" t="s">
        <v>74</v>
      </c>
      <c r="P34" s="1" t="s">
        <v>74</v>
      </c>
      <c r="Q34" s="1" t="s">
        <v>74</v>
      </c>
      <c r="R34" s="1" t="s">
        <v>74</v>
      </c>
      <c r="S34" s="1" t="s">
        <v>74</v>
      </c>
      <c r="T34" s="1" t="s">
        <v>74</v>
      </c>
      <c r="U34" s="1" t="s">
        <v>74</v>
      </c>
      <c r="V34" s="1" t="s">
        <v>455</v>
      </c>
      <c r="W34" s="1" t="s">
        <v>74</v>
      </c>
      <c r="X34" s="1" t="s">
        <v>74</v>
      </c>
      <c r="Y34" s="1" t="s">
        <v>74</v>
      </c>
      <c r="Z34" s="1" t="s">
        <v>74</v>
      </c>
      <c r="AA34" s="1" t="s">
        <v>456</v>
      </c>
      <c r="AB34" s="1" t="s">
        <v>457</v>
      </c>
      <c r="AC34" s="1" t="s">
        <v>74</v>
      </c>
      <c r="AD34" s="1" t="s">
        <v>74</v>
      </c>
      <c r="AE34" s="1" t="s">
        <v>74</v>
      </c>
      <c r="AF34" s="1" t="s">
        <v>74</v>
      </c>
      <c r="AG34" s="1" t="s">
        <v>74</v>
      </c>
      <c r="AH34" s="1" t="s">
        <v>74</v>
      </c>
      <c r="AI34" s="1" t="s">
        <v>74</v>
      </c>
      <c r="AJ34" s="1" t="s">
        <v>74</v>
      </c>
      <c r="AK34" s="1" t="s">
        <v>74</v>
      </c>
      <c r="AL34" s="1" t="s">
        <v>74</v>
      </c>
      <c r="AM34" s="1" t="s">
        <v>74</v>
      </c>
      <c r="AN34" s="1" t="s">
        <v>74</v>
      </c>
      <c r="AO34" s="1" t="s">
        <v>458</v>
      </c>
      <c r="AP34" s="1" t="s">
        <v>74</v>
      </c>
      <c r="AQ34" s="1" t="s">
        <v>74</v>
      </c>
      <c r="AR34" s="1" t="s">
        <v>74</v>
      </c>
      <c r="AS34" s="1" t="s">
        <v>74</v>
      </c>
      <c r="AT34" s="1" t="s">
        <v>447</v>
      </c>
      <c r="AU34" s="1">
        <v>2021.0</v>
      </c>
      <c r="AV34" s="1">
        <v>44.0</v>
      </c>
      <c r="AW34" s="1" t="s">
        <v>74</v>
      </c>
      <c r="AX34" s="1" t="s">
        <v>74</v>
      </c>
      <c r="AY34" s="1" t="s">
        <v>74</v>
      </c>
      <c r="AZ34" s="1" t="s">
        <v>74</v>
      </c>
      <c r="BA34" s="1" t="s">
        <v>74</v>
      </c>
      <c r="BB34" s="1">
        <v>379.0</v>
      </c>
      <c r="BC34" s="1">
        <v>386.0</v>
      </c>
      <c r="BD34" s="1" t="s">
        <v>74</v>
      </c>
      <c r="BE34" s="1" t="s">
        <v>459</v>
      </c>
      <c r="BF34" s="2" t="str">
        <f>HYPERLINK("http://dx.doi.org/10.1016/j.clnesp.2021.05.009","http://dx.doi.org/10.1016/j.clnesp.2021.05.009")</f>
        <v>http://dx.doi.org/10.1016/j.clnesp.2021.05.009</v>
      </c>
      <c r="BG34" s="1" t="s">
        <v>74</v>
      </c>
      <c r="BH34" s="1" t="s">
        <v>460</v>
      </c>
      <c r="BI34" s="1" t="s">
        <v>74</v>
      </c>
      <c r="BJ34" s="1" t="s">
        <v>74</v>
      </c>
      <c r="BK34" s="1" t="s">
        <v>74</v>
      </c>
      <c r="BL34" s="1" t="s">
        <v>74</v>
      </c>
      <c r="BM34" s="1" t="s">
        <v>74</v>
      </c>
      <c r="BN34" s="1">
        <v>3.4330493E7</v>
      </c>
      <c r="BO34" s="1" t="s">
        <v>74</v>
      </c>
      <c r="BP34" s="1" t="s">
        <v>74</v>
      </c>
      <c r="BQ34" s="1" t="s">
        <v>74</v>
      </c>
      <c r="BR34" s="1" t="s">
        <v>74</v>
      </c>
      <c r="BS34" s="1" t="s">
        <v>461</v>
      </c>
      <c r="BT34" s="1" t="str">
        <f>HYPERLINK("https%3A%2F%2Fwww.webofscience.com%2Fwos%2Fwoscc%2Ffull-record%2FWOS:000678558000049","View Full Record in Web of Science")</f>
        <v>View Full Record in Web of Science</v>
      </c>
    </row>
    <row r="35" ht="12.75" customHeight="1">
      <c r="A35" s="1" t="s">
        <v>462</v>
      </c>
      <c r="B35" s="1" t="s">
        <v>463</v>
      </c>
      <c r="C35" s="1" t="s">
        <v>74</v>
      </c>
      <c r="D35" s="1" t="s">
        <v>464</v>
      </c>
      <c r="E35" s="1" t="s">
        <v>74</v>
      </c>
      <c r="F35" s="1" t="s">
        <v>465</v>
      </c>
      <c r="G35" s="1" t="s">
        <v>74</v>
      </c>
      <c r="H35" s="1" t="s">
        <v>74</v>
      </c>
      <c r="I35" s="1" t="s">
        <v>466</v>
      </c>
      <c r="J35" s="1" t="s">
        <v>467</v>
      </c>
      <c r="K35" s="1" t="s">
        <v>74</v>
      </c>
      <c r="L35" s="1" t="s">
        <v>74</v>
      </c>
      <c r="M35" s="1" t="s">
        <v>74</v>
      </c>
      <c r="N35" s="1" t="s">
        <v>74</v>
      </c>
      <c r="O35" s="1" t="s">
        <v>468</v>
      </c>
      <c r="P35" s="1" t="s">
        <v>469</v>
      </c>
      <c r="Q35" s="1" t="s">
        <v>470</v>
      </c>
      <c r="R35" s="1" t="s">
        <v>74</v>
      </c>
      <c r="S35" s="1" t="s">
        <v>74</v>
      </c>
      <c r="T35" s="1" t="s">
        <v>74</v>
      </c>
      <c r="U35" s="1" t="s">
        <v>74</v>
      </c>
      <c r="V35" s="1" t="s">
        <v>471</v>
      </c>
      <c r="W35" s="1" t="s">
        <v>74</v>
      </c>
      <c r="X35" s="1" t="s">
        <v>74</v>
      </c>
      <c r="Y35" s="1" t="s">
        <v>74</v>
      </c>
      <c r="Z35" s="1" t="s">
        <v>74</v>
      </c>
      <c r="AA35" s="1" t="s">
        <v>472</v>
      </c>
      <c r="AB35" s="1" t="s">
        <v>473</v>
      </c>
      <c r="AC35" s="1" t="s">
        <v>74</v>
      </c>
      <c r="AD35" s="1" t="s">
        <v>74</v>
      </c>
      <c r="AE35" s="1" t="s">
        <v>74</v>
      </c>
      <c r="AF35" s="1" t="s">
        <v>74</v>
      </c>
      <c r="AG35" s="1" t="s">
        <v>74</v>
      </c>
      <c r="AH35" s="1" t="s">
        <v>74</v>
      </c>
      <c r="AI35" s="1" t="s">
        <v>74</v>
      </c>
      <c r="AJ35" s="1" t="s">
        <v>74</v>
      </c>
      <c r="AK35" s="1" t="s">
        <v>74</v>
      </c>
      <c r="AL35" s="1" t="s">
        <v>74</v>
      </c>
      <c r="AM35" s="1" t="s">
        <v>74</v>
      </c>
      <c r="AN35" s="1" t="s">
        <v>74</v>
      </c>
      <c r="AO35" s="1" t="s">
        <v>74</v>
      </c>
      <c r="AP35" s="1" t="s">
        <v>74</v>
      </c>
      <c r="AQ35" s="1" t="s">
        <v>474</v>
      </c>
      <c r="AR35" s="1" t="s">
        <v>74</v>
      </c>
      <c r="AS35" s="1" t="s">
        <v>74</v>
      </c>
      <c r="AT35" s="1" t="s">
        <v>74</v>
      </c>
      <c r="AU35" s="1">
        <v>2021.0</v>
      </c>
      <c r="AV35" s="1" t="s">
        <v>74</v>
      </c>
      <c r="AW35" s="1" t="s">
        <v>74</v>
      </c>
      <c r="AX35" s="1" t="s">
        <v>74</v>
      </c>
      <c r="AY35" s="1" t="s">
        <v>74</v>
      </c>
      <c r="AZ35" s="1" t="s">
        <v>74</v>
      </c>
      <c r="BA35" s="1" t="s">
        <v>74</v>
      </c>
      <c r="BB35" s="1">
        <v>408.0</v>
      </c>
      <c r="BC35" s="1">
        <v>415.0</v>
      </c>
      <c r="BD35" s="1" t="s">
        <v>74</v>
      </c>
      <c r="BE35" s="1" t="s">
        <v>475</v>
      </c>
      <c r="BF35" s="2" t="str">
        <f>HYPERLINK("http://dx.doi.org/10.5220/0010262404080415","http://dx.doi.org/10.5220/0010262404080415")</f>
        <v>http://dx.doi.org/10.5220/0010262404080415</v>
      </c>
      <c r="BG35" s="1" t="s">
        <v>74</v>
      </c>
      <c r="BH35" s="1" t="s">
        <v>74</v>
      </c>
      <c r="BI35" s="1" t="s">
        <v>74</v>
      </c>
      <c r="BJ35" s="1" t="s">
        <v>74</v>
      </c>
      <c r="BK35" s="1" t="s">
        <v>74</v>
      </c>
      <c r="BL35" s="1" t="s">
        <v>74</v>
      </c>
      <c r="BM35" s="1" t="s">
        <v>74</v>
      </c>
      <c r="BN35" s="1" t="s">
        <v>74</v>
      </c>
      <c r="BO35" s="1" t="s">
        <v>74</v>
      </c>
      <c r="BP35" s="1" t="s">
        <v>74</v>
      </c>
      <c r="BQ35" s="1" t="s">
        <v>74</v>
      </c>
      <c r="BR35" s="1" t="s">
        <v>74</v>
      </c>
      <c r="BS35" s="1" t="s">
        <v>476</v>
      </c>
      <c r="BT35" s="1" t="str">
        <f>HYPERLINK("https%3A%2F%2Fwww.webofscience.com%2Fwos%2Fwoscc%2Ffull-record%2FWOS:000662833600046","View Full Record in Web of Science")</f>
        <v>View Full Record in Web of Science</v>
      </c>
    </row>
    <row r="36" ht="12.75" customHeight="1">
      <c r="A36" s="1" t="s">
        <v>72</v>
      </c>
      <c r="B36" s="1" t="s">
        <v>477</v>
      </c>
      <c r="C36" s="1" t="s">
        <v>74</v>
      </c>
      <c r="D36" s="1" t="s">
        <v>74</v>
      </c>
      <c r="E36" s="1" t="s">
        <v>74</v>
      </c>
      <c r="F36" s="1" t="s">
        <v>478</v>
      </c>
      <c r="G36" s="1" t="s">
        <v>74</v>
      </c>
      <c r="H36" s="1" t="s">
        <v>74</v>
      </c>
      <c r="I36" s="1" t="s">
        <v>479</v>
      </c>
      <c r="J36" s="1" t="s">
        <v>480</v>
      </c>
      <c r="K36" s="1" t="s">
        <v>74</v>
      </c>
      <c r="L36" s="1" t="s">
        <v>74</v>
      </c>
      <c r="M36" s="1" t="s">
        <v>74</v>
      </c>
      <c r="N36" s="1" t="s">
        <v>74</v>
      </c>
      <c r="O36" s="1" t="s">
        <v>74</v>
      </c>
      <c r="P36" s="1" t="s">
        <v>74</v>
      </c>
      <c r="Q36" s="1" t="s">
        <v>74</v>
      </c>
      <c r="R36" s="1" t="s">
        <v>74</v>
      </c>
      <c r="S36" s="1" t="s">
        <v>74</v>
      </c>
      <c r="T36" s="1" t="s">
        <v>74</v>
      </c>
      <c r="U36" s="1" t="s">
        <v>74</v>
      </c>
      <c r="V36" s="1" t="s">
        <v>481</v>
      </c>
      <c r="W36" s="1" t="s">
        <v>74</v>
      </c>
      <c r="X36" s="1" t="s">
        <v>74</v>
      </c>
      <c r="Y36" s="1" t="s">
        <v>74</v>
      </c>
      <c r="Z36" s="1" t="s">
        <v>74</v>
      </c>
      <c r="AA36" s="1" t="s">
        <v>482</v>
      </c>
      <c r="AB36" s="1" t="s">
        <v>483</v>
      </c>
      <c r="AC36" s="1" t="s">
        <v>74</v>
      </c>
      <c r="AD36" s="1" t="s">
        <v>74</v>
      </c>
      <c r="AE36" s="1" t="s">
        <v>74</v>
      </c>
      <c r="AF36" s="1" t="s">
        <v>74</v>
      </c>
      <c r="AG36" s="1" t="s">
        <v>74</v>
      </c>
      <c r="AH36" s="1" t="s">
        <v>74</v>
      </c>
      <c r="AI36" s="1" t="s">
        <v>74</v>
      </c>
      <c r="AJ36" s="1" t="s">
        <v>74</v>
      </c>
      <c r="AK36" s="1" t="s">
        <v>74</v>
      </c>
      <c r="AL36" s="1" t="s">
        <v>74</v>
      </c>
      <c r="AM36" s="1" t="s">
        <v>74</v>
      </c>
      <c r="AN36" s="1" t="s">
        <v>74</v>
      </c>
      <c r="AO36" s="1" t="s">
        <v>484</v>
      </c>
      <c r="AP36" s="1" t="s">
        <v>74</v>
      </c>
      <c r="AQ36" s="1" t="s">
        <v>74</v>
      </c>
      <c r="AR36" s="1" t="s">
        <v>74</v>
      </c>
      <c r="AS36" s="1" t="s">
        <v>74</v>
      </c>
      <c r="AT36" s="1" t="s">
        <v>485</v>
      </c>
      <c r="AU36" s="1">
        <v>2020.0</v>
      </c>
      <c r="AV36" s="1">
        <v>10.0</v>
      </c>
      <c r="AW36" s="1">
        <v>1.0</v>
      </c>
      <c r="AX36" s="1" t="s">
        <v>74</v>
      </c>
      <c r="AY36" s="1" t="s">
        <v>74</v>
      </c>
      <c r="AZ36" s="1" t="s">
        <v>74</v>
      </c>
      <c r="BA36" s="1" t="s">
        <v>74</v>
      </c>
      <c r="BB36" s="1" t="s">
        <v>74</v>
      </c>
      <c r="BC36" s="1" t="s">
        <v>74</v>
      </c>
      <c r="BD36" s="1">
        <v>21096.0</v>
      </c>
      <c r="BE36" s="1" t="s">
        <v>486</v>
      </c>
      <c r="BF36" s="2" t="str">
        <f>HYPERLINK("http://dx.doi.org/10.1038/s41598-020-76276-y","http://dx.doi.org/10.1038/s41598-020-76276-y")</f>
        <v>http://dx.doi.org/10.1038/s41598-020-76276-y</v>
      </c>
      <c r="BG36" s="1" t="s">
        <v>74</v>
      </c>
      <c r="BH36" s="1" t="s">
        <v>74</v>
      </c>
      <c r="BI36" s="1" t="s">
        <v>74</v>
      </c>
      <c r="BJ36" s="1" t="s">
        <v>74</v>
      </c>
      <c r="BK36" s="1" t="s">
        <v>74</v>
      </c>
      <c r="BL36" s="1" t="s">
        <v>74</v>
      </c>
      <c r="BM36" s="1" t="s">
        <v>74</v>
      </c>
      <c r="BN36" s="1">
        <v>3.3273535E7</v>
      </c>
      <c r="BO36" s="1" t="s">
        <v>74</v>
      </c>
      <c r="BP36" s="1" t="s">
        <v>74</v>
      </c>
      <c r="BQ36" s="1" t="s">
        <v>74</v>
      </c>
      <c r="BR36" s="1" t="s">
        <v>74</v>
      </c>
      <c r="BS36" s="1" t="s">
        <v>487</v>
      </c>
      <c r="BT36" s="1" t="str">
        <f>HYPERLINK("https%3A%2F%2Fwww.webofscience.com%2Fwos%2Fwoscc%2Ffull-record%2FWOS:000615394300096","View Full Record in Web of Science")</f>
        <v>View Full Record in Web of Science</v>
      </c>
    </row>
    <row r="37" ht="12.75" customHeight="1">
      <c r="A37" s="1" t="s">
        <v>462</v>
      </c>
      <c r="B37" s="1" t="s">
        <v>488</v>
      </c>
      <c r="C37" s="1" t="s">
        <v>74</v>
      </c>
      <c r="D37" s="1" t="s">
        <v>74</v>
      </c>
      <c r="E37" s="1" t="s">
        <v>489</v>
      </c>
      <c r="F37" s="1" t="s">
        <v>490</v>
      </c>
      <c r="G37" s="1" t="s">
        <v>74</v>
      </c>
      <c r="H37" s="1" t="s">
        <v>74</v>
      </c>
      <c r="I37" s="1" t="s">
        <v>491</v>
      </c>
      <c r="J37" s="1" t="s">
        <v>492</v>
      </c>
      <c r="K37" s="1" t="s">
        <v>74</v>
      </c>
      <c r="L37" s="1" t="s">
        <v>74</v>
      </c>
      <c r="M37" s="1" t="s">
        <v>74</v>
      </c>
      <c r="N37" s="1" t="s">
        <v>74</v>
      </c>
      <c r="O37" s="1" t="s">
        <v>493</v>
      </c>
      <c r="P37" s="1" t="s">
        <v>494</v>
      </c>
      <c r="Q37" s="1" t="s">
        <v>495</v>
      </c>
      <c r="R37" s="1" t="s">
        <v>496</v>
      </c>
      <c r="S37" s="1" t="s">
        <v>74</v>
      </c>
      <c r="T37" s="1" t="s">
        <v>74</v>
      </c>
      <c r="U37" s="1" t="s">
        <v>74</v>
      </c>
      <c r="V37" s="1" t="s">
        <v>497</v>
      </c>
      <c r="W37" s="1" t="s">
        <v>74</v>
      </c>
      <c r="X37" s="1" t="s">
        <v>74</v>
      </c>
      <c r="Y37" s="1" t="s">
        <v>74</v>
      </c>
      <c r="Z37" s="1" t="s">
        <v>74</v>
      </c>
      <c r="AA37" s="1" t="s">
        <v>498</v>
      </c>
      <c r="AB37" s="1" t="s">
        <v>499</v>
      </c>
      <c r="AC37" s="1" t="s">
        <v>74</v>
      </c>
      <c r="AD37" s="1" t="s">
        <v>74</v>
      </c>
      <c r="AE37" s="1" t="s">
        <v>74</v>
      </c>
      <c r="AF37" s="1" t="s">
        <v>74</v>
      </c>
      <c r="AG37" s="1" t="s">
        <v>74</v>
      </c>
      <c r="AH37" s="1" t="s">
        <v>74</v>
      </c>
      <c r="AI37" s="1" t="s">
        <v>74</v>
      </c>
      <c r="AJ37" s="1" t="s">
        <v>74</v>
      </c>
      <c r="AK37" s="1" t="s">
        <v>74</v>
      </c>
      <c r="AL37" s="1" t="s">
        <v>74</v>
      </c>
      <c r="AM37" s="1" t="s">
        <v>74</v>
      </c>
      <c r="AN37" s="1" t="s">
        <v>74</v>
      </c>
      <c r="AO37" s="1" t="s">
        <v>74</v>
      </c>
      <c r="AP37" s="1" t="s">
        <v>74</v>
      </c>
      <c r="AQ37" s="1" t="s">
        <v>500</v>
      </c>
      <c r="AR37" s="1" t="s">
        <v>74</v>
      </c>
      <c r="AS37" s="1" t="s">
        <v>74</v>
      </c>
      <c r="AT37" s="1" t="s">
        <v>74</v>
      </c>
      <c r="AU37" s="1">
        <v>2019.0</v>
      </c>
      <c r="AV37" s="1" t="s">
        <v>74</v>
      </c>
      <c r="AW37" s="1" t="s">
        <v>74</v>
      </c>
      <c r="AX37" s="1" t="s">
        <v>74</v>
      </c>
      <c r="AY37" s="1" t="s">
        <v>74</v>
      </c>
      <c r="AZ37" s="1" t="s">
        <v>74</v>
      </c>
      <c r="BA37" s="1" t="s">
        <v>74</v>
      </c>
      <c r="BB37" s="1" t="s">
        <v>74</v>
      </c>
      <c r="BC37" s="1" t="s">
        <v>74</v>
      </c>
      <c r="BD37" s="1" t="s">
        <v>74</v>
      </c>
      <c r="BE37" s="1" t="s">
        <v>501</v>
      </c>
      <c r="BF37" s="2" t="str">
        <f>HYPERLINK("http://dx.doi.org/10.1109/chilecon47746.2019.8988025","http://dx.doi.org/10.1109/chilecon47746.2019.8988025")</f>
        <v>http://dx.doi.org/10.1109/chilecon47746.2019.8988025</v>
      </c>
      <c r="BG37" s="1" t="s">
        <v>74</v>
      </c>
      <c r="BH37" s="1" t="s">
        <v>74</v>
      </c>
      <c r="BI37" s="1" t="s">
        <v>74</v>
      </c>
      <c r="BJ37" s="1" t="s">
        <v>74</v>
      </c>
      <c r="BK37" s="1" t="s">
        <v>74</v>
      </c>
      <c r="BL37" s="1" t="s">
        <v>74</v>
      </c>
      <c r="BM37" s="1" t="s">
        <v>74</v>
      </c>
      <c r="BN37" s="1" t="s">
        <v>74</v>
      </c>
      <c r="BO37" s="1" t="s">
        <v>74</v>
      </c>
      <c r="BP37" s="1" t="s">
        <v>74</v>
      </c>
      <c r="BQ37" s="1" t="s">
        <v>74</v>
      </c>
      <c r="BR37" s="1" t="s">
        <v>74</v>
      </c>
      <c r="BS37" s="1" t="s">
        <v>502</v>
      </c>
      <c r="BT37" s="1" t="str">
        <f>HYPERLINK("https%3A%2F%2Fwww.webofscience.com%2Fwos%2Fwoscc%2Ffull-record%2FWOS:000542919100128","View Full Record in Web of Science")</f>
        <v>View Full Record in Web of Science</v>
      </c>
    </row>
    <row r="38" ht="12.75" customHeight="1">
      <c r="A38" s="1" t="s">
        <v>72</v>
      </c>
      <c r="B38" s="1" t="s">
        <v>503</v>
      </c>
      <c r="C38" s="1" t="s">
        <v>74</v>
      </c>
      <c r="D38" s="1" t="s">
        <v>74</v>
      </c>
      <c r="E38" s="1" t="s">
        <v>74</v>
      </c>
      <c r="F38" s="1" t="s">
        <v>504</v>
      </c>
      <c r="G38" s="1" t="s">
        <v>74</v>
      </c>
      <c r="H38" s="1" t="s">
        <v>74</v>
      </c>
      <c r="I38" s="1" t="s">
        <v>505</v>
      </c>
      <c r="J38" s="1" t="s">
        <v>363</v>
      </c>
      <c r="K38" s="1" t="s">
        <v>74</v>
      </c>
      <c r="L38" s="1" t="s">
        <v>74</v>
      </c>
      <c r="M38" s="1" t="s">
        <v>74</v>
      </c>
      <c r="N38" s="1" t="s">
        <v>74</v>
      </c>
      <c r="O38" s="1" t="s">
        <v>74</v>
      </c>
      <c r="P38" s="1" t="s">
        <v>74</v>
      </c>
      <c r="Q38" s="1" t="s">
        <v>74</v>
      </c>
      <c r="R38" s="1" t="s">
        <v>74</v>
      </c>
      <c r="S38" s="1" t="s">
        <v>74</v>
      </c>
      <c r="T38" s="1" t="s">
        <v>74</v>
      </c>
      <c r="U38" s="1" t="s">
        <v>74</v>
      </c>
      <c r="V38" s="1" t="s">
        <v>506</v>
      </c>
      <c r="W38" s="1" t="s">
        <v>74</v>
      </c>
      <c r="X38" s="1" t="s">
        <v>74</v>
      </c>
      <c r="Y38" s="1" t="s">
        <v>74</v>
      </c>
      <c r="Z38" s="1" t="s">
        <v>74</v>
      </c>
      <c r="AA38" s="1" t="s">
        <v>507</v>
      </c>
      <c r="AB38" s="1" t="s">
        <v>508</v>
      </c>
      <c r="AC38" s="1" t="s">
        <v>74</v>
      </c>
      <c r="AD38" s="1" t="s">
        <v>74</v>
      </c>
      <c r="AE38" s="1" t="s">
        <v>74</v>
      </c>
      <c r="AF38" s="1" t="s">
        <v>74</v>
      </c>
      <c r="AG38" s="1" t="s">
        <v>74</v>
      </c>
      <c r="AH38" s="1" t="s">
        <v>74</v>
      </c>
      <c r="AI38" s="1" t="s">
        <v>74</v>
      </c>
      <c r="AJ38" s="1" t="s">
        <v>74</v>
      </c>
      <c r="AK38" s="1" t="s">
        <v>74</v>
      </c>
      <c r="AL38" s="1" t="s">
        <v>74</v>
      </c>
      <c r="AM38" s="1" t="s">
        <v>74</v>
      </c>
      <c r="AN38" s="1" t="s">
        <v>74</v>
      </c>
      <c r="AO38" s="1" t="s">
        <v>367</v>
      </c>
      <c r="AP38" s="1" t="s">
        <v>74</v>
      </c>
      <c r="AQ38" s="1" t="s">
        <v>74</v>
      </c>
      <c r="AR38" s="1" t="s">
        <v>74</v>
      </c>
      <c r="AS38" s="1" t="s">
        <v>74</v>
      </c>
      <c r="AT38" s="1" t="s">
        <v>509</v>
      </c>
      <c r="AU38" s="1">
        <v>2018.0</v>
      </c>
      <c r="AV38" s="1">
        <v>10.0</v>
      </c>
      <c r="AW38" s="1">
        <v>33.0</v>
      </c>
      <c r="AX38" s="1" t="s">
        <v>74</v>
      </c>
      <c r="AY38" s="1" t="s">
        <v>74</v>
      </c>
      <c r="AZ38" s="1" t="s">
        <v>74</v>
      </c>
      <c r="BA38" s="1" t="s">
        <v>74</v>
      </c>
      <c r="BB38" s="1">
        <v>28147.0</v>
      </c>
      <c r="BC38" s="1">
        <v>28158.0</v>
      </c>
      <c r="BD38" s="1" t="s">
        <v>74</v>
      </c>
      <c r="BE38" s="1" t="s">
        <v>510</v>
      </c>
      <c r="BF38" s="2" t="str">
        <f>HYPERLINK("http://dx.doi.org/10.1021/acsami.8b03605","http://dx.doi.org/10.1021/acsami.8b03605")</f>
        <v>http://dx.doi.org/10.1021/acsami.8b03605</v>
      </c>
      <c r="BG38" s="1" t="s">
        <v>74</v>
      </c>
      <c r="BH38" s="1" t="s">
        <v>74</v>
      </c>
      <c r="BI38" s="1" t="s">
        <v>74</v>
      </c>
      <c r="BJ38" s="1" t="s">
        <v>74</v>
      </c>
      <c r="BK38" s="1" t="s">
        <v>74</v>
      </c>
      <c r="BL38" s="1" t="s">
        <v>74</v>
      </c>
      <c r="BM38" s="1" t="s">
        <v>74</v>
      </c>
      <c r="BN38" s="1">
        <v>3.0035536E7</v>
      </c>
      <c r="BO38" s="1" t="s">
        <v>74</v>
      </c>
      <c r="BP38" s="1" t="s">
        <v>74</v>
      </c>
      <c r="BQ38" s="1" t="s">
        <v>74</v>
      </c>
      <c r="BR38" s="1" t="s">
        <v>74</v>
      </c>
      <c r="BS38" s="1" t="s">
        <v>511</v>
      </c>
      <c r="BT38" s="1" t="str">
        <f>HYPERLINK("https%3A%2F%2Fwww.webofscience.com%2Fwos%2Fwoscc%2Ffull-record%2FWOS:000442706600064","View Full Record in Web of Science")</f>
        <v>View Full Record in Web of Science</v>
      </c>
    </row>
    <row r="39" ht="12.75" customHeight="1">
      <c r="A39" s="1" t="s">
        <v>72</v>
      </c>
      <c r="B39" s="1" t="s">
        <v>512</v>
      </c>
      <c r="C39" s="1" t="s">
        <v>74</v>
      </c>
      <c r="D39" s="1" t="s">
        <v>74</v>
      </c>
      <c r="E39" s="1" t="s">
        <v>74</v>
      </c>
      <c r="F39" s="1" t="s">
        <v>513</v>
      </c>
      <c r="G39" s="1" t="s">
        <v>74</v>
      </c>
      <c r="H39" s="1" t="s">
        <v>74</v>
      </c>
      <c r="I39" s="1" t="s">
        <v>514</v>
      </c>
      <c r="J39" s="1" t="s">
        <v>515</v>
      </c>
      <c r="K39" s="1" t="s">
        <v>74</v>
      </c>
      <c r="L39" s="1" t="s">
        <v>74</v>
      </c>
      <c r="M39" s="1" t="s">
        <v>74</v>
      </c>
      <c r="N39" s="1" t="s">
        <v>74</v>
      </c>
      <c r="O39" s="1" t="s">
        <v>74</v>
      </c>
      <c r="P39" s="1" t="s">
        <v>74</v>
      </c>
      <c r="Q39" s="1" t="s">
        <v>74</v>
      </c>
      <c r="R39" s="1" t="s">
        <v>74</v>
      </c>
      <c r="S39" s="1" t="s">
        <v>74</v>
      </c>
      <c r="T39" s="1" t="s">
        <v>74</v>
      </c>
      <c r="U39" s="1" t="s">
        <v>74</v>
      </c>
      <c r="V39" s="1" t="s">
        <v>516</v>
      </c>
      <c r="W39" s="1" t="s">
        <v>74</v>
      </c>
      <c r="X39" s="1" t="s">
        <v>74</v>
      </c>
      <c r="Y39" s="1" t="s">
        <v>74</v>
      </c>
      <c r="Z39" s="1" t="s">
        <v>74</v>
      </c>
      <c r="AA39" s="1" t="s">
        <v>517</v>
      </c>
      <c r="AB39" s="1" t="s">
        <v>518</v>
      </c>
      <c r="AC39" s="1" t="s">
        <v>74</v>
      </c>
      <c r="AD39" s="1" t="s">
        <v>74</v>
      </c>
      <c r="AE39" s="1" t="s">
        <v>74</v>
      </c>
      <c r="AF39" s="1" t="s">
        <v>74</v>
      </c>
      <c r="AG39" s="1" t="s">
        <v>74</v>
      </c>
      <c r="AH39" s="1" t="s">
        <v>74</v>
      </c>
      <c r="AI39" s="1" t="s">
        <v>74</v>
      </c>
      <c r="AJ39" s="1" t="s">
        <v>74</v>
      </c>
      <c r="AK39" s="1" t="s">
        <v>74</v>
      </c>
      <c r="AL39" s="1" t="s">
        <v>74</v>
      </c>
      <c r="AM39" s="1" t="s">
        <v>74</v>
      </c>
      <c r="AN39" s="1" t="s">
        <v>74</v>
      </c>
      <c r="AO39" s="1" t="s">
        <v>74</v>
      </c>
      <c r="AP39" s="1" t="s">
        <v>519</v>
      </c>
      <c r="AQ39" s="1" t="s">
        <v>74</v>
      </c>
      <c r="AR39" s="1" t="s">
        <v>74</v>
      </c>
      <c r="AS39" s="1" t="s">
        <v>74</v>
      </c>
      <c r="AT39" s="1" t="s">
        <v>447</v>
      </c>
      <c r="AU39" s="1">
        <v>2018.0</v>
      </c>
      <c r="AV39" s="1">
        <v>19.0</v>
      </c>
      <c r="AW39" s="1">
        <v>8.0</v>
      </c>
      <c r="AX39" s="1" t="s">
        <v>74</v>
      </c>
      <c r="AY39" s="1" t="s">
        <v>74</v>
      </c>
      <c r="AZ39" s="1" t="s">
        <v>74</v>
      </c>
      <c r="BA39" s="1" t="s">
        <v>74</v>
      </c>
      <c r="BB39" s="1" t="s">
        <v>74</v>
      </c>
      <c r="BC39" s="1" t="s">
        <v>74</v>
      </c>
      <c r="BD39" s="1">
        <v>2398.0</v>
      </c>
      <c r="BE39" s="1" t="s">
        <v>520</v>
      </c>
      <c r="BF39" s="2" t="str">
        <f>HYPERLINK("http://dx.doi.org/10.3390/ijms19082398","http://dx.doi.org/10.3390/ijms19082398")</f>
        <v>http://dx.doi.org/10.3390/ijms19082398</v>
      </c>
      <c r="BG39" s="1" t="s">
        <v>74</v>
      </c>
      <c r="BH39" s="1" t="s">
        <v>74</v>
      </c>
      <c r="BI39" s="1" t="s">
        <v>74</v>
      </c>
      <c r="BJ39" s="1" t="s">
        <v>74</v>
      </c>
      <c r="BK39" s="1" t="s">
        <v>74</v>
      </c>
      <c r="BL39" s="1" t="s">
        <v>74</v>
      </c>
      <c r="BM39" s="1" t="s">
        <v>74</v>
      </c>
      <c r="BN39" s="1">
        <v>3.0110961E7</v>
      </c>
      <c r="BO39" s="1" t="s">
        <v>74</v>
      </c>
      <c r="BP39" s="1" t="s">
        <v>74</v>
      </c>
      <c r="BQ39" s="1" t="s">
        <v>74</v>
      </c>
      <c r="BR39" s="1" t="s">
        <v>74</v>
      </c>
      <c r="BS39" s="1" t="s">
        <v>521</v>
      </c>
      <c r="BT39" s="1" t="str">
        <f>HYPERLINK("https%3A%2F%2Fwww.webofscience.com%2Fwos%2Fwoscc%2Ffull-record%2FWOS:000442869800250","View Full Record in Web of Science")</f>
        <v>View Full Record in Web of Science</v>
      </c>
    </row>
    <row r="40" ht="12.75" customHeight="1">
      <c r="A40" s="1" t="s">
        <v>72</v>
      </c>
      <c r="B40" s="1" t="s">
        <v>522</v>
      </c>
      <c r="C40" s="1" t="s">
        <v>74</v>
      </c>
      <c r="D40" s="1" t="s">
        <v>74</v>
      </c>
      <c r="E40" s="1" t="s">
        <v>74</v>
      </c>
      <c r="F40" s="1" t="s">
        <v>523</v>
      </c>
      <c r="G40" s="1" t="s">
        <v>74</v>
      </c>
      <c r="H40" s="1" t="s">
        <v>74</v>
      </c>
      <c r="I40" s="1" t="s">
        <v>524</v>
      </c>
      <c r="J40" s="1" t="s">
        <v>525</v>
      </c>
      <c r="K40" s="1" t="s">
        <v>74</v>
      </c>
      <c r="L40" s="1" t="s">
        <v>74</v>
      </c>
      <c r="M40" s="1" t="s">
        <v>74</v>
      </c>
      <c r="N40" s="1" t="s">
        <v>74</v>
      </c>
      <c r="O40" s="1" t="s">
        <v>74</v>
      </c>
      <c r="P40" s="1" t="s">
        <v>74</v>
      </c>
      <c r="Q40" s="1" t="s">
        <v>74</v>
      </c>
      <c r="R40" s="1" t="s">
        <v>74</v>
      </c>
      <c r="S40" s="1" t="s">
        <v>74</v>
      </c>
      <c r="T40" s="1" t="s">
        <v>74</v>
      </c>
      <c r="U40" s="1" t="s">
        <v>74</v>
      </c>
      <c r="V40" s="1" t="s">
        <v>526</v>
      </c>
      <c r="W40" s="1" t="s">
        <v>74</v>
      </c>
      <c r="X40" s="1" t="s">
        <v>74</v>
      </c>
      <c r="Y40" s="1" t="s">
        <v>74</v>
      </c>
      <c r="Z40" s="1" t="s">
        <v>74</v>
      </c>
      <c r="AA40" s="1" t="s">
        <v>527</v>
      </c>
      <c r="AB40" s="1" t="s">
        <v>528</v>
      </c>
      <c r="AC40" s="1" t="s">
        <v>74</v>
      </c>
      <c r="AD40" s="1" t="s">
        <v>74</v>
      </c>
      <c r="AE40" s="1" t="s">
        <v>74</v>
      </c>
      <c r="AF40" s="1" t="s">
        <v>74</v>
      </c>
      <c r="AG40" s="1" t="s">
        <v>74</v>
      </c>
      <c r="AH40" s="1" t="s">
        <v>74</v>
      </c>
      <c r="AI40" s="1" t="s">
        <v>74</v>
      </c>
      <c r="AJ40" s="1" t="s">
        <v>74</v>
      </c>
      <c r="AK40" s="1" t="s">
        <v>74</v>
      </c>
      <c r="AL40" s="1" t="s">
        <v>74</v>
      </c>
      <c r="AM40" s="1" t="s">
        <v>74</v>
      </c>
      <c r="AN40" s="1" t="s">
        <v>74</v>
      </c>
      <c r="AO40" s="1" t="s">
        <v>529</v>
      </c>
      <c r="AP40" s="1" t="s">
        <v>530</v>
      </c>
      <c r="AQ40" s="1" t="s">
        <v>74</v>
      </c>
      <c r="AR40" s="1" t="s">
        <v>74</v>
      </c>
      <c r="AS40" s="1" t="s">
        <v>74</v>
      </c>
      <c r="AT40" s="1" t="s">
        <v>531</v>
      </c>
      <c r="AU40" s="1">
        <v>2017.0</v>
      </c>
      <c r="AV40" s="1">
        <v>34.0</v>
      </c>
      <c r="AW40" s="1">
        <v>5.0</v>
      </c>
      <c r="AX40" s="1" t="s">
        <v>74</v>
      </c>
      <c r="AY40" s="1" t="s">
        <v>74</v>
      </c>
      <c r="AZ40" s="1" t="s">
        <v>74</v>
      </c>
      <c r="BA40" s="1" t="s">
        <v>74</v>
      </c>
      <c r="BB40" s="1">
        <v>77.0</v>
      </c>
      <c r="BC40" s="1">
        <v>83.0</v>
      </c>
      <c r="BD40" s="1" t="s">
        <v>74</v>
      </c>
      <c r="BE40" s="1" t="s">
        <v>532</v>
      </c>
      <c r="BF40" s="2" t="str">
        <f>HYPERLINK("http://dx.doi.org/10.20960/nh.1012","http://dx.doi.org/10.20960/nh.1012")</f>
        <v>http://dx.doi.org/10.20960/nh.1012</v>
      </c>
      <c r="BG40" s="1" t="s">
        <v>74</v>
      </c>
      <c r="BH40" s="1" t="s">
        <v>74</v>
      </c>
      <c r="BI40" s="1" t="s">
        <v>74</v>
      </c>
      <c r="BJ40" s="1" t="s">
        <v>74</v>
      </c>
      <c r="BK40" s="1" t="s">
        <v>74</v>
      </c>
      <c r="BL40" s="1" t="s">
        <v>74</v>
      </c>
      <c r="BM40" s="1" t="s">
        <v>74</v>
      </c>
      <c r="BN40" s="1">
        <v>2.9130704E7</v>
      </c>
      <c r="BO40" s="1" t="s">
        <v>74</v>
      </c>
      <c r="BP40" s="1" t="s">
        <v>74</v>
      </c>
      <c r="BQ40" s="1" t="s">
        <v>74</v>
      </c>
      <c r="BR40" s="1" t="s">
        <v>74</v>
      </c>
      <c r="BS40" s="1" t="s">
        <v>533</v>
      </c>
      <c r="BT40" s="1" t="str">
        <f>HYPERLINK("https%3A%2F%2Fwww.webofscience.com%2Fwos%2Fwoscc%2Ffull-record%2FWOS:000415276500009","View Full Record in Web of Science")</f>
        <v>View Full Record in Web of Science</v>
      </c>
    </row>
    <row r="41" ht="12.75" customHeight="1">
      <c r="A41" s="1" t="s">
        <v>72</v>
      </c>
      <c r="B41" s="1" t="s">
        <v>534</v>
      </c>
      <c r="C41" s="1" t="s">
        <v>74</v>
      </c>
      <c r="D41" s="1" t="s">
        <v>74</v>
      </c>
      <c r="E41" s="1" t="s">
        <v>74</v>
      </c>
      <c r="F41" s="1" t="s">
        <v>535</v>
      </c>
      <c r="G41" s="1" t="s">
        <v>74</v>
      </c>
      <c r="H41" s="1" t="s">
        <v>74</v>
      </c>
      <c r="I41" s="1" t="s">
        <v>536</v>
      </c>
      <c r="J41" s="1" t="s">
        <v>537</v>
      </c>
      <c r="K41" s="1" t="s">
        <v>74</v>
      </c>
      <c r="L41" s="1" t="s">
        <v>74</v>
      </c>
      <c r="M41" s="1" t="s">
        <v>74</v>
      </c>
      <c r="N41" s="1" t="s">
        <v>74</v>
      </c>
      <c r="O41" s="1" t="s">
        <v>74</v>
      </c>
      <c r="P41" s="1" t="s">
        <v>74</v>
      </c>
      <c r="Q41" s="1" t="s">
        <v>74</v>
      </c>
      <c r="R41" s="1" t="s">
        <v>74</v>
      </c>
      <c r="S41" s="1" t="s">
        <v>74</v>
      </c>
      <c r="T41" s="1" t="s">
        <v>74</v>
      </c>
      <c r="U41" s="1" t="s">
        <v>74</v>
      </c>
      <c r="V41" s="1" t="s">
        <v>538</v>
      </c>
      <c r="W41" s="1" t="s">
        <v>74</v>
      </c>
      <c r="X41" s="1" t="s">
        <v>74</v>
      </c>
      <c r="Y41" s="1" t="s">
        <v>74</v>
      </c>
      <c r="Z41" s="1" t="s">
        <v>74</v>
      </c>
      <c r="AA41" s="1" t="s">
        <v>539</v>
      </c>
      <c r="AB41" s="1" t="s">
        <v>540</v>
      </c>
      <c r="AC41" s="1" t="s">
        <v>74</v>
      </c>
      <c r="AD41" s="1" t="s">
        <v>74</v>
      </c>
      <c r="AE41" s="1" t="s">
        <v>74</v>
      </c>
      <c r="AF41" s="1" t="s">
        <v>74</v>
      </c>
      <c r="AG41" s="1" t="s">
        <v>74</v>
      </c>
      <c r="AH41" s="1" t="s">
        <v>74</v>
      </c>
      <c r="AI41" s="1" t="s">
        <v>74</v>
      </c>
      <c r="AJ41" s="1" t="s">
        <v>74</v>
      </c>
      <c r="AK41" s="1" t="s">
        <v>74</v>
      </c>
      <c r="AL41" s="1" t="s">
        <v>74</v>
      </c>
      <c r="AM41" s="1" t="s">
        <v>74</v>
      </c>
      <c r="AN41" s="1" t="s">
        <v>74</v>
      </c>
      <c r="AO41" s="1" t="s">
        <v>541</v>
      </c>
      <c r="AP41" s="1" t="s">
        <v>542</v>
      </c>
      <c r="AQ41" s="1" t="s">
        <v>74</v>
      </c>
      <c r="AR41" s="1" t="s">
        <v>74</v>
      </c>
      <c r="AS41" s="1" t="s">
        <v>74</v>
      </c>
      <c r="AT41" s="1" t="s">
        <v>264</v>
      </c>
      <c r="AU41" s="1">
        <v>2014.0</v>
      </c>
      <c r="AV41" s="1">
        <v>228.0</v>
      </c>
      <c r="AW41" s="1">
        <v>1.0</v>
      </c>
      <c r="AX41" s="1" t="s">
        <v>74</v>
      </c>
      <c r="AY41" s="1" t="s">
        <v>74</v>
      </c>
      <c r="AZ41" s="1" t="s">
        <v>74</v>
      </c>
      <c r="BA41" s="1" t="s">
        <v>74</v>
      </c>
      <c r="BB41" s="1">
        <v>37.0</v>
      </c>
      <c r="BC41" s="1">
        <v>48.0</v>
      </c>
      <c r="BD41" s="1" t="s">
        <v>74</v>
      </c>
      <c r="BE41" s="1" t="s">
        <v>543</v>
      </c>
      <c r="BF41" s="2" t="str">
        <f>HYPERLINK("http://dx.doi.org/10.1177/0954411913512283","http://dx.doi.org/10.1177/0954411913512283")</f>
        <v>http://dx.doi.org/10.1177/0954411913512283</v>
      </c>
      <c r="BG41" s="1" t="s">
        <v>74</v>
      </c>
      <c r="BH41" s="1" t="s">
        <v>74</v>
      </c>
      <c r="BI41" s="1" t="s">
        <v>74</v>
      </c>
      <c r="BJ41" s="1" t="s">
        <v>74</v>
      </c>
      <c r="BK41" s="1" t="s">
        <v>74</v>
      </c>
      <c r="BL41" s="1" t="s">
        <v>74</v>
      </c>
      <c r="BM41" s="1" t="s">
        <v>74</v>
      </c>
      <c r="BN41" s="1">
        <v>2.4280227E7</v>
      </c>
      <c r="BO41" s="1" t="s">
        <v>74</v>
      </c>
      <c r="BP41" s="1" t="s">
        <v>74</v>
      </c>
      <c r="BQ41" s="1" t="s">
        <v>74</v>
      </c>
      <c r="BR41" s="1" t="s">
        <v>74</v>
      </c>
      <c r="BS41" s="1" t="s">
        <v>544</v>
      </c>
      <c r="BT41" s="1" t="str">
        <f>HYPERLINK("https%3A%2F%2Fwww.webofscience.com%2Fwos%2Fwoscc%2Ffull-record%2FWOS:000329314100005","View Full Record in Web of Science")</f>
        <v>View Full Record in Web of Science</v>
      </c>
    </row>
    <row r="42" ht="12.75" customHeight="1">
      <c r="A42" s="1" t="s">
        <v>72</v>
      </c>
      <c r="B42" s="1" t="s">
        <v>545</v>
      </c>
      <c r="C42" s="1" t="s">
        <v>74</v>
      </c>
      <c r="D42" s="1" t="s">
        <v>74</v>
      </c>
      <c r="E42" s="1" t="s">
        <v>74</v>
      </c>
      <c r="F42" s="1" t="s">
        <v>546</v>
      </c>
      <c r="G42" s="1" t="s">
        <v>74</v>
      </c>
      <c r="H42" s="1" t="s">
        <v>74</v>
      </c>
      <c r="I42" s="1" t="s">
        <v>547</v>
      </c>
      <c r="J42" s="1" t="s">
        <v>548</v>
      </c>
      <c r="K42" s="1" t="s">
        <v>74</v>
      </c>
      <c r="L42" s="1" t="s">
        <v>74</v>
      </c>
      <c r="M42" s="1" t="s">
        <v>74</v>
      </c>
      <c r="N42" s="1" t="s">
        <v>74</v>
      </c>
      <c r="O42" s="1" t="s">
        <v>549</v>
      </c>
      <c r="P42" s="1" t="s">
        <v>550</v>
      </c>
      <c r="Q42" s="1" t="s">
        <v>551</v>
      </c>
      <c r="R42" s="1" t="s">
        <v>74</v>
      </c>
      <c r="S42" s="1" t="s">
        <v>74</v>
      </c>
      <c r="T42" s="1" t="s">
        <v>74</v>
      </c>
      <c r="U42" s="1" t="s">
        <v>74</v>
      </c>
      <c r="V42" s="1" t="s">
        <v>552</v>
      </c>
      <c r="W42" s="1" t="s">
        <v>74</v>
      </c>
      <c r="X42" s="1" t="s">
        <v>74</v>
      </c>
      <c r="Y42" s="1" t="s">
        <v>74</v>
      </c>
      <c r="Z42" s="1" t="s">
        <v>74</v>
      </c>
      <c r="AA42" s="1" t="s">
        <v>553</v>
      </c>
      <c r="AB42" s="1" t="s">
        <v>554</v>
      </c>
      <c r="AC42" s="1" t="s">
        <v>74</v>
      </c>
      <c r="AD42" s="1" t="s">
        <v>74</v>
      </c>
      <c r="AE42" s="1" t="s">
        <v>74</v>
      </c>
      <c r="AF42" s="1" t="s">
        <v>74</v>
      </c>
      <c r="AG42" s="1" t="s">
        <v>74</v>
      </c>
      <c r="AH42" s="1" t="s">
        <v>74</v>
      </c>
      <c r="AI42" s="1" t="s">
        <v>74</v>
      </c>
      <c r="AJ42" s="1" t="s">
        <v>74</v>
      </c>
      <c r="AK42" s="1" t="s">
        <v>74</v>
      </c>
      <c r="AL42" s="1" t="s">
        <v>74</v>
      </c>
      <c r="AM42" s="1" t="s">
        <v>74</v>
      </c>
      <c r="AN42" s="1" t="s">
        <v>74</v>
      </c>
      <c r="AO42" s="1" t="s">
        <v>555</v>
      </c>
      <c r="AP42" s="1" t="s">
        <v>556</v>
      </c>
      <c r="AQ42" s="1" t="s">
        <v>74</v>
      </c>
      <c r="AR42" s="1" t="s">
        <v>74</v>
      </c>
      <c r="AS42" s="1" t="s">
        <v>74</v>
      </c>
      <c r="AT42" s="1" t="s">
        <v>74</v>
      </c>
      <c r="AU42" s="1">
        <v>2010.0</v>
      </c>
      <c r="AV42" s="1">
        <v>521.0</v>
      </c>
      <c r="AW42" s="1" t="s">
        <v>74</v>
      </c>
      <c r="AX42" s="1" t="s">
        <v>74</v>
      </c>
      <c r="AY42" s="1" t="s">
        <v>74</v>
      </c>
      <c r="AZ42" s="1" t="s">
        <v>74</v>
      </c>
      <c r="BA42" s="1" t="s">
        <v>74</v>
      </c>
      <c r="BB42" s="1">
        <v>293.0</v>
      </c>
      <c r="BC42" s="1">
        <v>300.0</v>
      </c>
      <c r="BD42" s="1" t="s">
        <v>74</v>
      </c>
      <c r="BE42" s="1" t="s">
        <v>557</v>
      </c>
      <c r="BF42" s="2" t="str">
        <f>HYPERLINK("http://dx.doi.org/10.1080/15421401003716155","http://dx.doi.org/10.1080/15421401003716155")</f>
        <v>http://dx.doi.org/10.1080/15421401003716155</v>
      </c>
      <c r="BG42" s="1" t="s">
        <v>74</v>
      </c>
      <c r="BH42" s="1" t="s">
        <v>74</v>
      </c>
      <c r="BI42" s="1" t="s">
        <v>74</v>
      </c>
      <c r="BJ42" s="1" t="s">
        <v>74</v>
      </c>
      <c r="BK42" s="1" t="s">
        <v>74</v>
      </c>
      <c r="BL42" s="1" t="s">
        <v>74</v>
      </c>
      <c r="BM42" s="1" t="s">
        <v>74</v>
      </c>
      <c r="BN42" s="1" t="s">
        <v>74</v>
      </c>
      <c r="BO42" s="1" t="s">
        <v>74</v>
      </c>
      <c r="BP42" s="1" t="s">
        <v>74</v>
      </c>
      <c r="BQ42" s="1" t="s">
        <v>74</v>
      </c>
      <c r="BR42" s="1" t="s">
        <v>74</v>
      </c>
      <c r="BS42" s="1" t="s">
        <v>558</v>
      </c>
      <c r="BT42" s="1" t="str">
        <f>HYPERLINK("https%3A%2F%2Fwww.webofscience.com%2Fwos%2Fwoscc%2Ffull-record%2FWOS:000278163100028","View Full Record in Web of Science")</f>
        <v>View Full Record in Web of Science</v>
      </c>
    </row>
    <row r="43" ht="12.75" customHeight="1">
      <c r="A43" s="1" t="s">
        <v>72</v>
      </c>
      <c r="B43" s="1" t="s">
        <v>559</v>
      </c>
      <c r="C43" s="1" t="s">
        <v>74</v>
      </c>
      <c r="D43" s="1" t="s">
        <v>74</v>
      </c>
      <c r="E43" s="1" t="s">
        <v>74</v>
      </c>
      <c r="F43" s="1" t="s">
        <v>560</v>
      </c>
      <c r="G43" s="1" t="s">
        <v>74</v>
      </c>
      <c r="H43" s="1" t="s">
        <v>74</v>
      </c>
      <c r="I43" s="1" t="s">
        <v>561</v>
      </c>
      <c r="J43" s="1" t="s">
        <v>562</v>
      </c>
      <c r="K43" s="1" t="s">
        <v>74</v>
      </c>
      <c r="L43" s="1" t="s">
        <v>74</v>
      </c>
      <c r="M43" s="1" t="s">
        <v>74</v>
      </c>
      <c r="N43" s="1" t="s">
        <v>74</v>
      </c>
      <c r="O43" s="1" t="s">
        <v>74</v>
      </c>
      <c r="P43" s="1" t="s">
        <v>74</v>
      </c>
      <c r="Q43" s="1" t="s">
        <v>74</v>
      </c>
      <c r="R43" s="1" t="s">
        <v>74</v>
      </c>
      <c r="S43" s="1" t="s">
        <v>74</v>
      </c>
      <c r="T43" s="1" t="s">
        <v>74</v>
      </c>
      <c r="U43" s="1" t="s">
        <v>74</v>
      </c>
      <c r="V43" s="1" t="s">
        <v>563</v>
      </c>
      <c r="W43" s="1" t="s">
        <v>74</v>
      </c>
      <c r="X43" s="1" t="s">
        <v>74</v>
      </c>
      <c r="Y43" s="1" t="s">
        <v>74</v>
      </c>
      <c r="Z43" s="1" t="s">
        <v>74</v>
      </c>
      <c r="AA43" s="1" t="s">
        <v>564</v>
      </c>
      <c r="AB43" s="1" t="s">
        <v>565</v>
      </c>
      <c r="AC43" s="1" t="s">
        <v>74</v>
      </c>
      <c r="AD43" s="1" t="s">
        <v>74</v>
      </c>
      <c r="AE43" s="1" t="s">
        <v>74</v>
      </c>
      <c r="AF43" s="1" t="s">
        <v>74</v>
      </c>
      <c r="AG43" s="1" t="s">
        <v>74</v>
      </c>
      <c r="AH43" s="1" t="s">
        <v>74</v>
      </c>
      <c r="AI43" s="1" t="s">
        <v>74</v>
      </c>
      <c r="AJ43" s="1" t="s">
        <v>74</v>
      </c>
      <c r="AK43" s="1" t="s">
        <v>74</v>
      </c>
      <c r="AL43" s="1" t="s">
        <v>74</v>
      </c>
      <c r="AM43" s="1" t="s">
        <v>74</v>
      </c>
      <c r="AN43" s="1" t="s">
        <v>74</v>
      </c>
      <c r="AO43" s="1" t="s">
        <v>566</v>
      </c>
      <c r="AP43" s="1" t="s">
        <v>567</v>
      </c>
      <c r="AQ43" s="1" t="s">
        <v>74</v>
      </c>
      <c r="AR43" s="1" t="s">
        <v>74</v>
      </c>
      <c r="AS43" s="1" t="s">
        <v>74</v>
      </c>
      <c r="AT43" s="1" t="s">
        <v>74</v>
      </c>
      <c r="AU43" s="1">
        <v>2009.0</v>
      </c>
      <c r="AV43" s="1">
        <v>9.0</v>
      </c>
      <c r="AW43" s="1">
        <v>6.0</v>
      </c>
      <c r="AX43" s="1" t="s">
        <v>74</v>
      </c>
      <c r="AY43" s="1" t="s">
        <v>74</v>
      </c>
      <c r="AZ43" s="1" t="s">
        <v>74</v>
      </c>
      <c r="BA43" s="1" t="s">
        <v>74</v>
      </c>
      <c r="BB43" s="1">
        <v>2257.0</v>
      </c>
      <c r="BC43" s="1">
        <v>2273.0</v>
      </c>
      <c r="BD43" s="1" t="s">
        <v>74</v>
      </c>
      <c r="BE43" s="1" t="s">
        <v>568</v>
      </c>
      <c r="BF43" s="2" t="str">
        <f>HYPERLINK("http://dx.doi.org/10.5194/acp-9-2257-2009","http://dx.doi.org/10.5194/acp-9-2257-2009")</f>
        <v>http://dx.doi.org/10.5194/acp-9-2257-2009</v>
      </c>
      <c r="BG43" s="1" t="s">
        <v>74</v>
      </c>
      <c r="BH43" s="1" t="s">
        <v>74</v>
      </c>
      <c r="BI43" s="1" t="s">
        <v>74</v>
      </c>
      <c r="BJ43" s="1" t="s">
        <v>74</v>
      </c>
      <c r="BK43" s="1" t="s">
        <v>74</v>
      </c>
      <c r="BL43" s="1" t="s">
        <v>74</v>
      </c>
      <c r="BM43" s="1" t="s">
        <v>74</v>
      </c>
      <c r="BN43" s="1" t="s">
        <v>74</v>
      </c>
      <c r="BO43" s="1" t="s">
        <v>74</v>
      </c>
      <c r="BP43" s="1" t="s">
        <v>74</v>
      </c>
      <c r="BQ43" s="1" t="s">
        <v>74</v>
      </c>
      <c r="BR43" s="1" t="s">
        <v>74</v>
      </c>
      <c r="BS43" s="1" t="s">
        <v>569</v>
      </c>
      <c r="BT43" s="1" t="str">
        <f>HYPERLINK("https%3A%2F%2Fwww.webofscience.com%2Fwos%2Fwoscc%2Ffull-record%2FWOS:000264625400030","View Full Record in Web of Science")</f>
        <v>View Full Record in Web of Science</v>
      </c>
    </row>
    <row r="44" ht="12.75" customHeight="1">
      <c r="A44" s="1" t="s">
        <v>72</v>
      </c>
      <c r="B44" s="1" t="s">
        <v>570</v>
      </c>
      <c r="C44" s="1" t="s">
        <v>74</v>
      </c>
      <c r="D44" s="1" t="s">
        <v>74</v>
      </c>
      <c r="E44" s="1" t="s">
        <v>74</v>
      </c>
      <c r="F44" s="1" t="s">
        <v>571</v>
      </c>
      <c r="G44" s="1" t="s">
        <v>74</v>
      </c>
      <c r="H44" s="1" t="s">
        <v>74</v>
      </c>
      <c r="I44" s="1" t="s">
        <v>572</v>
      </c>
      <c r="J44" s="1" t="s">
        <v>147</v>
      </c>
      <c r="K44" s="1" t="s">
        <v>74</v>
      </c>
      <c r="L44" s="1" t="s">
        <v>74</v>
      </c>
      <c r="M44" s="1" t="s">
        <v>74</v>
      </c>
      <c r="N44" s="1" t="s">
        <v>74</v>
      </c>
      <c r="O44" s="1" t="s">
        <v>74</v>
      </c>
      <c r="P44" s="1" t="s">
        <v>74</v>
      </c>
      <c r="Q44" s="1" t="s">
        <v>74</v>
      </c>
      <c r="R44" s="1" t="s">
        <v>74</v>
      </c>
      <c r="S44" s="1" t="s">
        <v>74</v>
      </c>
      <c r="T44" s="1" t="s">
        <v>74</v>
      </c>
      <c r="U44" s="1" t="s">
        <v>74</v>
      </c>
      <c r="V44" s="1" t="s">
        <v>573</v>
      </c>
      <c r="W44" s="1" t="s">
        <v>74</v>
      </c>
      <c r="X44" s="1" t="s">
        <v>74</v>
      </c>
      <c r="Y44" s="1" t="s">
        <v>74</v>
      </c>
      <c r="Z44" s="1" t="s">
        <v>74</v>
      </c>
      <c r="AA44" s="1" t="s">
        <v>574</v>
      </c>
      <c r="AB44" s="1" t="s">
        <v>575</v>
      </c>
      <c r="AC44" s="1" t="s">
        <v>74</v>
      </c>
      <c r="AD44" s="1" t="s">
        <v>74</v>
      </c>
      <c r="AE44" s="1" t="s">
        <v>74</v>
      </c>
      <c r="AF44" s="1" t="s">
        <v>74</v>
      </c>
      <c r="AG44" s="1" t="s">
        <v>74</v>
      </c>
      <c r="AH44" s="1" t="s">
        <v>74</v>
      </c>
      <c r="AI44" s="1" t="s">
        <v>74</v>
      </c>
      <c r="AJ44" s="1" t="s">
        <v>74</v>
      </c>
      <c r="AK44" s="1" t="s">
        <v>74</v>
      </c>
      <c r="AL44" s="1" t="s">
        <v>74</v>
      </c>
      <c r="AM44" s="1" t="s">
        <v>74</v>
      </c>
      <c r="AN44" s="1" t="s">
        <v>74</v>
      </c>
      <c r="AO44" s="1" t="s">
        <v>151</v>
      </c>
      <c r="AP44" s="1" t="s">
        <v>74</v>
      </c>
      <c r="AQ44" s="1" t="s">
        <v>74</v>
      </c>
      <c r="AR44" s="1" t="s">
        <v>74</v>
      </c>
      <c r="AS44" s="1" t="s">
        <v>74</v>
      </c>
      <c r="AT44" s="1" t="s">
        <v>576</v>
      </c>
      <c r="AU44" s="1">
        <v>2006.0</v>
      </c>
      <c r="AV44" s="1">
        <v>1.0</v>
      </c>
      <c r="AW44" s="1">
        <v>1.0</v>
      </c>
      <c r="AX44" s="1" t="s">
        <v>74</v>
      </c>
      <c r="AY44" s="1" t="s">
        <v>74</v>
      </c>
      <c r="AZ44" s="1" t="s">
        <v>74</v>
      </c>
      <c r="BA44" s="1" t="s">
        <v>74</v>
      </c>
      <c r="BB44" s="1" t="s">
        <v>74</v>
      </c>
      <c r="BC44" s="1" t="s">
        <v>74</v>
      </c>
      <c r="BD44" s="1" t="s">
        <v>577</v>
      </c>
      <c r="BE44" s="1" t="s">
        <v>578</v>
      </c>
      <c r="BF44" s="2" t="str">
        <f>HYPERLINK("http://dx.doi.org/10.1371/journal.pone.0000070","http://dx.doi.org/10.1371/journal.pone.0000070")</f>
        <v>http://dx.doi.org/10.1371/journal.pone.0000070</v>
      </c>
      <c r="BG44" s="1" t="s">
        <v>74</v>
      </c>
      <c r="BH44" s="1" t="s">
        <v>74</v>
      </c>
      <c r="BI44" s="1" t="s">
        <v>74</v>
      </c>
      <c r="BJ44" s="1" t="s">
        <v>74</v>
      </c>
      <c r="BK44" s="1" t="s">
        <v>74</v>
      </c>
      <c r="BL44" s="1" t="s">
        <v>74</v>
      </c>
      <c r="BM44" s="1" t="s">
        <v>74</v>
      </c>
      <c r="BN44" s="1">
        <v>1.7183702E7</v>
      </c>
      <c r="BO44" s="1" t="s">
        <v>74</v>
      </c>
      <c r="BP44" s="1" t="s">
        <v>74</v>
      </c>
      <c r="BQ44" s="1" t="s">
        <v>74</v>
      </c>
      <c r="BR44" s="1" t="s">
        <v>74</v>
      </c>
      <c r="BS44" s="1" t="s">
        <v>579</v>
      </c>
      <c r="BT44" s="1" t="str">
        <f>HYPERLINK("https%3A%2F%2Fwww.webofscience.com%2Fwos%2Fwoscc%2Ffull-record%2FWOS:000207443600070","View Full Record in Web of Science")</f>
        <v>View Full Record in Web of Science</v>
      </c>
    </row>
    <row r="45" ht="12.75" customHeight="1">
      <c r="A45" s="1" t="s">
        <v>72</v>
      </c>
      <c r="B45" s="1" t="s">
        <v>580</v>
      </c>
      <c r="C45" s="1" t="s">
        <v>74</v>
      </c>
      <c r="D45" s="1" t="s">
        <v>74</v>
      </c>
      <c r="E45" s="1" t="s">
        <v>74</v>
      </c>
      <c r="F45" s="1" t="s">
        <v>580</v>
      </c>
      <c r="G45" s="1" t="s">
        <v>74</v>
      </c>
      <c r="H45" s="1" t="s">
        <v>74</v>
      </c>
      <c r="I45" s="1" t="s">
        <v>581</v>
      </c>
      <c r="J45" s="1" t="s">
        <v>582</v>
      </c>
      <c r="K45" s="1" t="s">
        <v>74</v>
      </c>
      <c r="L45" s="1" t="s">
        <v>74</v>
      </c>
      <c r="M45" s="1" t="s">
        <v>74</v>
      </c>
      <c r="N45" s="1" t="s">
        <v>74</v>
      </c>
      <c r="O45" s="1" t="s">
        <v>583</v>
      </c>
      <c r="P45" s="1" t="s">
        <v>584</v>
      </c>
      <c r="Q45" s="1" t="s">
        <v>585</v>
      </c>
      <c r="R45" s="1" t="s">
        <v>74</v>
      </c>
      <c r="S45" s="1" t="s">
        <v>74</v>
      </c>
      <c r="T45" s="1" t="s">
        <v>74</v>
      </c>
      <c r="U45" s="1" t="s">
        <v>74</v>
      </c>
      <c r="V45" s="1" t="s">
        <v>586</v>
      </c>
      <c r="W45" s="1" t="s">
        <v>74</v>
      </c>
      <c r="X45" s="1" t="s">
        <v>74</v>
      </c>
      <c r="Y45" s="1" t="s">
        <v>74</v>
      </c>
      <c r="Z45" s="1" t="s">
        <v>74</v>
      </c>
      <c r="AA45" s="1" t="s">
        <v>587</v>
      </c>
      <c r="AB45" s="1" t="s">
        <v>588</v>
      </c>
      <c r="AC45" s="1" t="s">
        <v>74</v>
      </c>
      <c r="AD45" s="1" t="s">
        <v>74</v>
      </c>
      <c r="AE45" s="1" t="s">
        <v>74</v>
      </c>
      <c r="AF45" s="1" t="s">
        <v>74</v>
      </c>
      <c r="AG45" s="1" t="s">
        <v>74</v>
      </c>
      <c r="AH45" s="1" t="s">
        <v>74</v>
      </c>
      <c r="AI45" s="1" t="s">
        <v>74</v>
      </c>
      <c r="AJ45" s="1" t="s">
        <v>74</v>
      </c>
      <c r="AK45" s="1" t="s">
        <v>74</v>
      </c>
      <c r="AL45" s="1" t="s">
        <v>74</v>
      </c>
      <c r="AM45" s="1" t="s">
        <v>74</v>
      </c>
      <c r="AN45" s="1" t="s">
        <v>74</v>
      </c>
      <c r="AO45" s="1" t="s">
        <v>589</v>
      </c>
      <c r="AP45" s="1" t="s">
        <v>74</v>
      </c>
      <c r="AQ45" s="1" t="s">
        <v>74</v>
      </c>
      <c r="AR45" s="1" t="s">
        <v>74</v>
      </c>
      <c r="AS45" s="1" t="s">
        <v>74</v>
      </c>
      <c r="AT45" s="1" t="s">
        <v>590</v>
      </c>
      <c r="AU45" s="1">
        <v>2002.0</v>
      </c>
      <c r="AV45" s="1">
        <v>31.0</v>
      </c>
      <c r="AW45" s="1">
        <v>2.0</v>
      </c>
      <c r="AX45" s="1" t="s">
        <v>74</v>
      </c>
      <c r="AY45" s="1" t="s">
        <v>74</v>
      </c>
      <c r="AZ45" s="1" t="s">
        <v>74</v>
      </c>
      <c r="BA45" s="1" t="s">
        <v>74</v>
      </c>
      <c r="BB45" s="1">
        <v>128.0</v>
      </c>
      <c r="BC45" s="1">
        <v>131.0</v>
      </c>
      <c r="BD45" s="1" t="s">
        <v>74</v>
      </c>
      <c r="BE45" s="1" t="s">
        <v>591</v>
      </c>
      <c r="BF45" s="2" t="str">
        <f>HYPERLINK("http://dx.doi.org/10.1002/xrs.558","http://dx.doi.org/10.1002/xrs.558")</f>
        <v>http://dx.doi.org/10.1002/xrs.558</v>
      </c>
      <c r="BG45" s="1" t="s">
        <v>74</v>
      </c>
      <c r="BH45" s="1" t="s">
        <v>74</v>
      </c>
      <c r="BI45" s="1" t="s">
        <v>74</v>
      </c>
      <c r="BJ45" s="1" t="s">
        <v>74</v>
      </c>
      <c r="BK45" s="1" t="s">
        <v>74</v>
      </c>
      <c r="BL45" s="1" t="s">
        <v>74</v>
      </c>
      <c r="BM45" s="1" t="s">
        <v>74</v>
      </c>
      <c r="BN45" s="1" t="s">
        <v>74</v>
      </c>
      <c r="BO45" s="1" t="s">
        <v>74</v>
      </c>
      <c r="BP45" s="1" t="s">
        <v>74</v>
      </c>
      <c r="BQ45" s="1" t="s">
        <v>74</v>
      </c>
      <c r="BR45" s="1" t="s">
        <v>74</v>
      </c>
      <c r="BS45" s="1" t="s">
        <v>592</v>
      </c>
      <c r="BT45" s="1" t="str">
        <f>HYPERLINK("https%3A%2F%2Fwww.webofscience.com%2Fwos%2Fwoscc%2Ffull-record%2FWOS:000174640700005","View Full Record in Web of Science")</f>
        <v>View Full Record in Web of Science</v>
      </c>
    </row>
    <row r="46" ht="12.75" customHeight="1">
      <c r="A46" s="1" t="s">
        <v>72</v>
      </c>
      <c r="B46" s="1" t="s">
        <v>593</v>
      </c>
      <c r="C46" s="1" t="s">
        <v>74</v>
      </c>
      <c r="D46" s="1" t="s">
        <v>74</v>
      </c>
      <c r="E46" s="1" t="s">
        <v>74</v>
      </c>
      <c r="F46" s="1" t="s">
        <v>594</v>
      </c>
      <c r="G46" s="1" t="s">
        <v>74</v>
      </c>
      <c r="H46" s="1" t="s">
        <v>74</v>
      </c>
      <c r="I46" s="1" t="s">
        <v>595</v>
      </c>
      <c r="J46" s="1" t="s">
        <v>596</v>
      </c>
      <c r="K46" s="1" t="s">
        <v>74</v>
      </c>
      <c r="L46" s="1" t="s">
        <v>74</v>
      </c>
      <c r="M46" s="1" t="s">
        <v>74</v>
      </c>
      <c r="N46" s="1" t="s">
        <v>74</v>
      </c>
      <c r="O46" s="1" t="s">
        <v>74</v>
      </c>
      <c r="P46" s="1" t="s">
        <v>74</v>
      </c>
      <c r="Q46" s="1" t="s">
        <v>74</v>
      </c>
      <c r="R46" s="1" t="s">
        <v>74</v>
      </c>
      <c r="S46" s="1" t="s">
        <v>74</v>
      </c>
      <c r="T46" s="1" t="s">
        <v>74</v>
      </c>
      <c r="U46" s="1" t="s">
        <v>74</v>
      </c>
      <c r="V46" s="1" t="s">
        <v>597</v>
      </c>
      <c r="W46" s="1" t="s">
        <v>74</v>
      </c>
      <c r="X46" s="1" t="s">
        <v>74</v>
      </c>
      <c r="Y46" s="1" t="s">
        <v>74</v>
      </c>
      <c r="Z46" s="1" t="s">
        <v>74</v>
      </c>
      <c r="AA46" s="1" t="s">
        <v>598</v>
      </c>
      <c r="AB46" s="1" t="s">
        <v>599</v>
      </c>
      <c r="AC46" s="1" t="s">
        <v>74</v>
      </c>
      <c r="AD46" s="1" t="s">
        <v>74</v>
      </c>
      <c r="AE46" s="1" t="s">
        <v>74</v>
      </c>
      <c r="AF46" s="1" t="s">
        <v>74</v>
      </c>
      <c r="AG46" s="1" t="s">
        <v>74</v>
      </c>
      <c r="AH46" s="1" t="s">
        <v>74</v>
      </c>
      <c r="AI46" s="1" t="s">
        <v>74</v>
      </c>
      <c r="AJ46" s="1" t="s">
        <v>74</v>
      </c>
      <c r="AK46" s="1" t="s">
        <v>74</v>
      </c>
      <c r="AL46" s="1" t="s">
        <v>74</v>
      </c>
      <c r="AM46" s="1" t="s">
        <v>74</v>
      </c>
      <c r="AN46" s="1" t="s">
        <v>74</v>
      </c>
      <c r="AO46" s="1" t="s">
        <v>74</v>
      </c>
      <c r="AP46" s="1" t="s">
        <v>600</v>
      </c>
      <c r="AQ46" s="1" t="s">
        <v>74</v>
      </c>
      <c r="AR46" s="1" t="s">
        <v>74</v>
      </c>
      <c r="AS46" s="1" t="s">
        <v>74</v>
      </c>
      <c r="AT46" s="1" t="s">
        <v>334</v>
      </c>
      <c r="AU46" s="1">
        <v>2022.0</v>
      </c>
      <c r="AV46" s="1">
        <v>14.0</v>
      </c>
      <c r="AW46" s="1">
        <v>19.0</v>
      </c>
      <c r="AX46" s="1" t="s">
        <v>74</v>
      </c>
      <c r="AY46" s="1" t="s">
        <v>74</v>
      </c>
      <c r="AZ46" s="1" t="s">
        <v>74</v>
      </c>
      <c r="BA46" s="1" t="s">
        <v>74</v>
      </c>
      <c r="BB46" s="1" t="s">
        <v>74</v>
      </c>
      <c r="BC46" s="1" t="s">
        <v>74</v>
      </c>
      <c r="BD46" s="1">
        <v>4041.0</v>
      </c>
      <c r="BE46" s="1" t="s">
        <v>601</v>
      </c>
      <c r="BF46" s="2" t="str">
        <f>HYPERLINK("http://dx.doi.org/10.3390/polym14194041","http://dx.doi.org/10.3390/polym14194041")</f>
        <v>http://dx.doi.org/10.3390/polym14194041</v>
      </c>
      <c r="BG46" s="1" t="s">
        <v>74</v>
      </c>
      <c r="BH46" s="1" t="s">
        <v>74</v>
      </c>
      <c r="BI46" s="1" t="s">
        <v>74</v>
      </c>
      <c r="BJ46" s="1" t="s">
        <v>74</v>
      </c>
      <c r="BK46" s="1" t="s">
        <v>74</v>
      </c>
      <c r="BL46" s="1" t="s">
        <v>74</v>
      </c>
      <c r="BM46" s="1" t="s">
        <v>74</v>
      </c>
      <c r="BN46" s="1">
        <v>3.6235989E7</v>
      </c>
      <c r="BO46" s="1" t="s">
        <v>74</v>
      </c>
      <c r="BP46" s="1" t="s">
        <v>74</v>
      </c>
      <c r="BQ46" s="1" t="s">
        <v>74</v>
      </c>
      <c r="BR46" s="1" t="s">
        <v>74</v>
      </c>
      <c r="BS46" s="1" t="s">
        <v>602</v>
      </c>
      <c r="BT46" s="1" t="str">
        <f>HYPERLINK("https%3A%2F%2Fwww.webofscience.com%2Fwos%2Fwoscc%2Ffull-record%2FWOS:000867182200001","View Full Record in Web of Science")</f>
        <v>View Full Record in Web of Science</v>
      </c>
    </row>
    <row r="47" ht="12.75" customHeight="1">
      <c r="A47" s="1" t="s">
        <v>72</v>
      </c>
      <c r="B47" s="1" t="s">
        <v>603</v>
      </c>
      <c r="C47" s="1" t="s">
        <v>74</v>
      </c>
      <c r="D47" s="1" t="s">
        <v>74</v>
      </c>
      <c r="E47" s="1" t="s">
        <v>74</v>
      </c>
      <c r="F47" s="1" t="s">
        <v>604</v>
      </c>
      <c r="G47" s="1" t="s">
        <v>74</v>
      </c>
      <c r="H47" s="1" t="s">
        <v>74</v>
      </c>
      <c r="I47" s="1" t="s">
        <v>605</v>
      </c>
      <c r="J47" s="1" t="s">
        <v>606</v>
      </c>
      <c r="K47" s="1" t="s">
        <v>74</v>
      </c>
      <c r="L47" s="1" t="s">
        <v>74</v>
      </c>
      <c r="M47" s="1" t="s">
        <v>74</v>
      </c>
      <c r="N47" s="1" t="s">
        <v>74</v>
      </c>
      <c r="O47" s="1" t="s">
        <v>74</v>
      </c>
      <c r="P47" s="1" t="s">
        <v>74</v>
      </c>
      <c r="Q47" s="1" t="s">
        <v>74</v>
      </c>
      <c r="R47" s="1" t="s">
        <v>74</v>
      </c>
      <c r="S47" s="1" t="s">
        <v>74</v>
      </c>
      <c r="T47" s="1" t="s">
        <v>74</v>
      </c>
      <c r="U47" s="1" t="s">
        <v>74</v>
      </c>
      <c r="V47" s="1" t="s">
        <v>607</v>
      </c>
      <c r="W47" s="1" t="s">
        <v>74</v>
      </c>
      <c r="X47" s="1" t="s">
        <v>74</v>
      </c>
      <c r="Y47" s="1" t="s">
        <v>74</v>
      </c>
      <c r="Z47" s="1" t="s">
        <v>74</v>
      </c>
      <c r="AA47" s="1" t="s">
        <v>608</v>
      </c>
      <c r="AB47" s="1" t="s">
        <v>609</v>
      </c>
      <c r="AC47" s="1" t="s">
        <v>74</v>
      </c>
      <c r="AD47" s="1" t="s">
        <v>74</v>
      </c>
      <c r="AE47" s="1" t="s">
        <v>74</v>
      </c>
      <c r="AF47" s="1" t="s">
        <v>74</v>
      </c>
      <c r="AG47" s="1" t="s">
        <v>74</v>
      </c>
      <c r="AH47" s="1" t="s">
        <v>74</v>
      </c>
      <c r="AI47" s="1" t="s">
        <v>74</v>
      </c>
      <c r="AJ47" s="1" t="s">
        <v>74</v>
      </c>
      <c r="AK47" s="1" t="s">
        <v>74</v>
      </c>
      <c r="AL47" s="1" t="s">
        <v>74</v>
      </c>
      <c r="AM47" s="1" t="s">
        <v>74</v>
      </c>
      <c r="AN47" s="1" t="s">
        <v>74</v>
      </c>
      <c r="AO47" s="1" t="s">
        <v>74</v>
      </c>
      <c r="AP47" s="1" t="s">
        <v>610</v>
      </c>
      <c r="AQ47" s="1" t="s">
        <v>74</v>
      </c>
      <c r="AR47" s="1" t="s">
        <v>74</v>
      </c>
      <c r="AS47" s="1" t="s">
        <v>74</v>
      </c>
      <c r="AT47" s="1" t="s">
        <v>611</v>
      </c>
      <c r="AU47" s="1">
        <v>2022.0</v>
      </c>
      <c r="AV47" s="1">
        <v>12.0</v>
      </c>
      <c r="AW47" s="1">
        <v>33.0</v>
      </c>
      <c r="AX47" s="1" t="s">
        <v>74</v>
      </c>
      <c r="AY47" s="1" t="s">
        <v>74</v>
      </c>
      <c r="AZ47" s="1" t="s">
        <v>74</v>
      </c>
      <c r="BA47" s="1" t="s">
        <v>74</v>
      </c>
      <c r="BB47" s="1">
        <v>21340.0</v>
      </c>
      <c r="BC47" s="1">
        <v>21352.0</v>
      </c>
      <c r="BD47" s="1" t="s">
        <v>74</v>
      </c>
      <c r="BE47" s="1" t="s">
        <v>612</v>
      </c>
      <c r="BF47" s="2" t="str">
        <f>HYPERLINK("http://dx.doi.org/10.1039/d2ra03684c","http://dx.doi.org/10.1039/d2ra03684c")</f>
        <v>http://dx.doi.org/10.1039/d2ra03684c</v>
      </c>
      <c r="BG47" s="1" t="s">
        <v>74</v>
      </c>
      <c r="BH47" s="1" t="s">
        <v>74</v>
      </c>
      <c r="BI47" s="1" t="s">
        <v>74</v>
      </c>
      <c r="BJ47" s="1" t="s">
        <v>74</v>
      </c>
      <c r="BK47" s="1" t="s">
        <v>74</v>
      </c>
      <c r="BL47" s="1" t="s">
        <v>74</v>
      </c>
      <c r="BM47" s="1" t="s">
        <v>74</v>
      </c>
      <c r="BN47" s="1">
        <v>3.5975048E7</v>
      </c>
      <c r="BO47" s="1" t="s">
        <v>74</v>
      </c>
      <c r="BP47" s="1" t="s">
        <v>74</v>
      </c>
      <c r="BQ47" s="1" t="s">
        <v>74</v>
      </c>
      <c r="BR47" s="1" t="s">
        <v>74</v>
      </c>
      <c r="BS47" s="1" t="s">
        <v>613</v>
      </c>
      <c r="BT47" s="1" t="str">
        <f>HYPERLINK("https%3A%2F%2Fwww.webofscience.com%2Fwos%2Fwoscc%2Ffull-record%2FWOS:000834799600001","View Full Record in Web of Science")</f>
        <v>View Full Record in Web of Science</v>
      </c>
    </row>
    <row r="48" ht="12.75" customHeight="1">
      <c r="A48" s="1" t="s">
        <v>72</v>
      </c>
      <c r="B48" s="1" t="s">
        <v>614</v>
      </c>
      <c r="C48" s="1" t="s">
        <v>74</v>
      </c>
      <c r="D48" s="1" t="s">
        <v>74</v>
      </c>
      <c r="E48" s="1" t="s">
        <v>74</v>
      </c>
      <c r="F48" s="1" t="s">
        <v>615</v>
      </c>
      <c r="G48" s="1" t="s">
        <v>74</v>
      </c>
      <c r="H48" s="1" t="s">
        <v>74</v>
      </c>
      <c r="I48" s="1" t="s">
        <v>616</v>
      </c>
      <c r="J48" s="1" t="s">
        <v>617</v>
      </c>
      <c r="K48" s="1" t="s">
        <v>74</v>
      </c>
      <c r="L48" s="1" t="s">
        <v>74</v>
      </c>
      <c r="M48" s="1" t="s">
        <v>74</v>
      </c>
      <c r="N48" s="1" t="s">
        <v>74</v>
      </c>
      <c r="O48" s="1" t="s">
        <v>74</v>
      </c>
      <c r="P48" s="1" t="s">
        <v>74</v>
      </c>
      <c r="Q48" s="1" t="s">
        <v>74</v>
      </c>
      <c r="R48" s="1" t="s">
        <v>74</v>
      </c>
      <c r="S48" s="1" t="s">
        <v>74</v>
      </c>
      <c r="T48" s="1" t="s">
        <v>74</v>
      </c>
      <c r="U48" s="1" t="s">
        <v>74</v>
      </c>
      <c r="V48" s="1" t="s">
        <v>74</v>
      </c>
      <c r="W48" s="1" t="s">
        <v>74</v>
      </c>
      <c r="X48" s="1" t="s">
        <v>74</v>
      </c>
      <c r="Y48" s="1" t="s">
        <v>74</v>
      </c>
      <c r="Z48" s="1" t="s">
        <v>74</v>
      </c>
      <c r="AA48" s="1" t="s">
        <v>618</v>
      </c>
      <c r="AB48" s="1" t="s">
        <v>619</v>
      </c>
      <c r="AC48" s="1" t="s">
        <v>74</v>
      </c>
      <c r="AD48" s="1" t="s">
        <v>74</v>
      </c>
      <c r="AE48" s="1" t="s">
        <v>74</v>
      </c>
      <c r="AF48" s="1" t="s">
        <v>74</v>
      </c>
      <c r="AG48" s="1" t="s">
        <v>74</v>
      </c>
      <c r="AH48" s="1" t="s">
        <v>74</v>
      </c>
      <c r="AI48" s="1" t="s">
        <v>74</v>
      </c>
      <c r="AJ48" s="1" t="s">
        <v>74</v>
      </c>
      <c r="AK48" s="1" t="s">
        <v>74</v>
      </c>
      <c r="AL48" s="1" t="s">
        <v>74</v>
      </c>
      <c r="AM48" s="1" t="s">
        <v>74</v>
      </c>
      <c r="AN48" s="1" t="s">
        <v>74</v>
      </c>
      <c r="AO48" s="1" t="s">
        <v>620</v>
      </c>
      <c r="AP48" s="1" t="s">
        <v>621</v>
      </c>
      <c r="AQ48" s="1" t="s">
        <v>74</v>
      </c>
      <c r="AR48" s="1" t="s">
        <v>74</v>
      </c>
      <c r="AS48" s="1" t="s">
        <v>74</v>
      </c>
      <c r="AT48" s="1" t="s">
        <v>447</v>
      </c>
      <c r="AU48" s="1">
        <v>2022.0</v>
      </c>
      <c r="AV48" s="1">
        <v>28.0</v>
      </c>
      <c r="AW48" s="1">
        <v>8.0</v>
      </c>
      <c r="AX48" s="1" t="s">
        <v>74</v>
      </c>
      <c r="AY48" s="1" t="s">
        <v>74</v>
      </c>
      <c r="AZ48" s="1" t="s">
        <v>74</v>
      </c>
      <c r="BA48" s="1" t="s">
        <v>74</v>
      </c>
      <c r="BB48" s="1">
        <v>1516.0</v>
      </c>
      <c r="BC48" s="1">
        <v>1517.0</v>
      </c>
      <c r="BD48" s="1" t="s">
        <v>74</v>
      </c>
      <c r="BE48" s="1" t="s">
        <v>622</v>
      </c>
      <c r="BF48" s="2" t="str">
        <f>HYPERLINK("http://dx.doi.org/10.1038/s41591-022-01876-2","http://dx.doi.org/10.1038/s41591-022-01876-2")</f>
        <v>http://dx.doi.org/10.1038/s41591-022-01876-2</v>
      </c>
      <c r="BG48" s="1" t="s">
        <v>74</v>
      </c>
      <c r="BH48" s="1" t="s">
        <v>623</v>
      </c>
      <c r="BI48" s="1" t="s">
        <v>74</v>
      </c>
      <c r="BJ48" s="1" t="s">
        <v>74</v>
      </c>
      <c r="BK48" s="1" t="s">
        <v>74</v>
      </c>
      <c r="BL48" s="1" t="s">
        <v>74</v>
      </c>
      <c r="BM48" s="1" t="s">
        <v>74</v>
      </c>
      <c r="BN48" s="1">
        <v>3.571099E7</v>
      </c>
      <c r="BO48" s="1" t="s">
        <v>74</v>
      </c>
      <c r="BP48" s="1" t="s">
        <v>74</v>
      </c>
      <c r="BQ48" s="1" t="s">
        <v>74</v>
      </c>
      <c r="BR48" s="1" t="s">
        <v>74</v>
      </c>
      <c r="BS48" s="1" t="s">
        <v>624</v>
      </c>
      <c r="BT48" s="1" t="str">
        <f>HYPERLINK("https%3A%2F%2Fwww.webofscience.com%2Fwos%2Fwoscc%2Ffull-record%2FWOS:000811980700005","View Full Record in Web of Science")</f>
        <v>View Full Record in Web of Science</v>
      </c>
    </row>
    <row r="49" ht="12.75" customHeight="1">
      <c r="A49" s="1" t="s">
        <v>72</v>
      </c>
      <c r="B49" s="1" t="s">
        <v>625</v>
      </c>
      <c r="C49" s="1" t="s">
        <v>74</v>
      </c>
      <c r="D49" s="1" t="s">
        <v>74</v>
      </c>
      <c r="E49" s="1" t="s">
        <v>74</v>
      </c>
      <c r="F49" s="1" t="s">
        <v>626</v>
      </c>
      <c r="G49" s="1" t="s">
        <v>74</v>
      </c>
      <c r="H49" s="1" t="s">
        <v>74</v>
      </c>
      <c r="I49" s="1" t="s">
        <v>627</v>
      </c>
      <c r="J49" s="1" t="s">
        <v>628</v>
      </c>
      <c r="K49" s="1" t="s">
        <v>74</v>
      </c>
      <c r="L49" s="1" t="s">
        <v>74</v>
      </c>
      <c r="M49" s="1" t="s">
        <v>74</v>
      </c>
      <c r="N49" s="1" t="s">
        <v>74</v>
      </c>
      <c r="O49" s="1" t="s">
        <v>74</v>
      </c>
      <c r="P49" s="1" t="s">
        <v>74</v>
      </c>
      <c r="Q49" s="1" t="s">
        <v>74</v>
      </c>
      <c r="R49" s="1" t="s">
        <v>74</v>
      </c>
      <c r="S49" s="1" t="s">
        <v>74</v>
      </c>
      <c r="T49" s="1" t="s">
        <v>74</v>
      </c>
      <c r="U49" s="1" t="s">
        <v>74</v>
      </c>
      <c r="V49" s="1" t="s">
        <v>629</v>
      </c>
      <c r="W49" s="1" t="s">
        <v>74</v>
      </c>
      <c r="X49" s="1" t="s">
        <v>74</v>
      </c>
      <c r="Y49" s="1" t="s">
        <v>74</v>
      </c>
      <c r="Z49" s="1" t="s">
        <v>74</v>
      </c>
      <c r="AA49" s="1" t="s">
        <v>630</v>
      </c>
      <c r="AB49" s="1" t="s">
        <v>631</v>
      </c>
      <c r="AC49" s="1" t="s">
        <v>74</v>
      </c>
      <c r="AD49" s="1" t="s">
        <v>74</v>
      </c>
      <c r="AE49" s="1" t="s">
        <v>74</v>
      </c>
      <c r="AF49" s="1" t="s">
        <v>74</v>
      </c>
      <c r="AG49" s="1" t="s">
        <v>74</v>
      </c>
      <c r="AH49" s="1" t="s">
        <v>74</v>
      </c>
      <c r="AI49" s="1" t="s">
        <v>74</v>
      </c>
      <c r="AJ49" s="1" t="s">
        <v>74</v>
      </c>
      <c r="AK49" s="1" t="s">
        <v>74</v>
      </c>
      <c r="AL49" s="1" t="s">
        <v>74</v>
      </c>
      <c r="AM49" s="1" t="s">
        <v>74</v>
      </c>
      <c r="AN49" s="1" t="s">
        <v>74</v>
      </c>
      <c r="AO49" s="1" t="s">
        <v>632</v>
      </c>
      <c r="AP49" s="1" t="s">
        <v>633</v>
      </c>
      <c r="AQ49" s="1" t="s">
        <v>74</v>
      </c>
      <c r="AR49" s="1" t="s">
        <v>74</v>
      </c>
      <c r="AS49" s="1" t="s">
        <v>74</v>
      </c>
      <c r="AT49" s="1" t="s">
        <v>634</v>
      </c>
      <c r="AU49" s="1">
        <v>2021.0</v>
      </c>
      <c r="AV49" s="1">
        <v>126.0</v>
      </c>
      <c r="AW49" s="1">
        <v>6.0</v>
      </c>
      <c r="AX49" s="1" t="s">
        <v>74</v>
      </c>
      <c r="AY49" s="1" t="s">
        <v>74</v>
      </c>
      <c r="AZ49" s="1" t="s">
        <v>74</v>
      </c>
      <c r="BA49" s="1" t="s">
        <v>74</v>
      </c>
      <c r="BB49" s="1">
        <v>825.0</v>
      </c>
      <c r="BC49" s="1">
        <v>836.0</v>
      </c>
      <c r="BD49" s="1" t="s">
        <v>635</v>
      </c>
      <c r="BE49" s="1" t="s">
        <v>636</v>
      </c>
      <c r="BF49" s="2" t="str">
        <f>HYPERLINK("http://dx.doi.org/10.1017/S000711452000481X","http://dx.doi.org/10.1017/S000711452000481X")</f>
        <v>http://dx.doi.org/10.1017/S000711452000481X</v>
      </c>
      <c r="BG49" s="1" t="s">
        <v>74</v>
      </c>
      <c r="BH49" s="1" t="s">
        <v>74</v>
      </c>
      <c r="BI49" s="1" t="s">
        <v>74</v>
      </c>
      <c r="BJ49" s="1" t="s">
        <v>74</v>
      </c>
      <c r="BK49" s="1" t="s">
        <v>74</v>
      </c>
      <c r="BL49" s="1" t="s">
        <v>74</v>
      </c>
      <c r="BM49" s="1" t="s">
        <v>74</v>
      </c>
      <c r="BN49" s="1">
        <v>3.3256858E7</v>
      </c>
      <c r="BO49" s="1" t="s">
        <v>74</v>
      </c>
      <c r="BP49" s="1" t="s">
        <v>74</v>
      </c>
      <c r="BQ49" s="1" t="s">
        <v>74</v>
      </c>
      <c r="BR49" s="1" t="s">
        <v>74</v>
      </c>
      <c r="BS49" s="1" t="s">
        <v>637</v>
      </c>
      <c r="BT49" s="1" t="str">
        <f>HYPERLINK("https%3A%2F%2Fwww.webofscience.com%2Fwos%2Fwoscc%2Ffull-record%2FWOS:000683029100005","View Full Record in Web of Science")</f>
        <v>View Full Record in Web of Science</v>
      </c>
    </row>
    <row r="50" ht="12.75" customHeight="1">
      <c r="A50" s="1" t="s">
        <v>72</v>
      </c>
      <c r="B50" s="1" t="s">
        <v>638</v>
      </c>
      <c r="C50" s="1" t="s">
        <v>74</v>
      </c>
      <c r="D50" s="1" t="s">
        <v>74</v>
      </c>
      <c r="E50" s="1" t="s">
        <v>74</v>
      </c>
      <c r="F50" s="1" t="s">
        <v>639</v>
      </c>
      <c r="G50" s="1" t="s">
        <v>74</v>
      </c>
      <c r="H50" s="1" t="s">
        <v>74</v>
      </c>
      <c r="I50" s="1" t="s">
        <v>640</v>
      </c>
      <c r="J50" s="1" t="s">
        <v>329</v>
      </c>
      <c r="K50" s="1" t="s">
        <v>74</v>
      </c>
      <c r="L50" s="1" t="s">
        <v>74</v>
      </c>
      <c r="M50" s="1" t="s">
        <v>74</v>
      </c>
      <c r="N50" s="1" t="s">
        <v>74</v>
      </c>
      <c r="O50" s="1" t="s">
        <v>74</v>
      </c>
      <c r="P50" s="1" t="s">
        <v>74</v>
      </c>
      <c r="Q50" s="1" t="s">
        <v>74</v>
      </c>
      <c r="R50" s="1" t="s">
        <v>74</v>
      </c>
      <c r="S50" s="1" t="s">
        <v>74</v>
      </c>
      <c r="T50" s="1" t="s">
        <v>74</v>
      </c>
      <c r="U50" s="1" t="s">
        <v>74</v>
      </c>
      <c r="V50" s="1" t="s">
        <v>641</v>
      </c>
      <c r="W50" s="1" t="s">
        <v>74</v>
      </c>
      <c r="X50" s="1" t="s">
        <v>74</v>
      </c>
      <c r="Y50" s="1" t="s">
        <v>74</v>
      </c>
      <c r="Z50" s="1" t="s">
        <v>74</v>
      </c>
      <c r="AA50" s="1" t="s">
        <v>642</v>
      </c>
      <c r="AB50" s="1" t="s">
        <v>643</v>
      </c>
      <c r="AC50" s="1" t="s">
        <v>74</v>
      </c>
      <c r="AD50" s="1" t="s">
        <v>74</v>
      </c>
      <c r="AE50" s="1" t="s">
        <v>74</v>
      </c>
      <c r="AF50" s="1" t="s">
        <v>74</v>
      </c>
      <c r="AG50" s="1" t="s">
        <v>74</v>
      </c>
      <c r="AH50" s="1" t="s">
        <v>74</v>
      </c>
      <c r="AI50" s="1" t="s">
        <v>74</v>
      </c>
      <c r="AJ50" s="1" t="s">
        <v>74</v>
      </c>
      <c r="AK50" s="1" t="s">
        <v>74</v>
      </c>
      <c r="AL50" s="1" t="s">
        <v>74</v>
      </c>
      <c r="AM50" s="1" t="s">
        <v>74</v>
      </c>
      <c r="AN50" s="1" t="s">
        <v>74</v>
      </c>
      <c r="AO50" s="1" t="s">
        <v>333</v>
      </c>
      <c r="AP50" s="1" t="s">
        <v>74</v>
      </c>
      <c r="AQ50" s="1" t="s">
        <v>74</v>
      </c>
      <c r="AR50" s="1" t="s">
        <v>74</v>
      </c>
      <c r="AS50" s="1" t="s">
        <v>74</v>
      </c>
      <c r="AT50" s="1" t="s">
        <v>94</v>
      </c>
      <c r="AU50" s="1">
        <v>2015.0</v>
      </c>
      <c r="AV50" s="1">
        <v>6.0</v>
      </c>
      <c r="AW50" s="1" t="s">
        <v>74</v>
      </c>
      <c r="AX50" s="1" t="s">
        <v>74</v>
      </c>
      <c r="AY50" s="1" t="s">
        <v>74</v>
      </c>
      <c r="AZ50" s="1" t="s">
        <v>74</v>
      </c>
      <c r="BA50" s="1" t="s">
        <v>74</v>
      </c>
      <c r="BB50" s="1" t="s">
        <v>74</v>
      </c>
      <c r="BC50" s="1" t="s">
        <v>74</v>
      </c>
      <c r="BD50" s="1">
        <v>10117.0</v>
      </c>
      <c r="BE50" s="1" t="s">
        <v>644</v>
      </c>
      <c r="BF50" s="2" t="str">
        <f>HYPERLINK("http://dx.doi.org/10.1038/ncomms10117","http://dx.doi.org/10.1038/ncomms10117")</f>
        <v>http://dx.doi.org/10.1038/ncomms10117</v>
      </c>
      <c r="BG50" s="1" t="s">
        <v>74</v>
      </c>
      <c r="BH50" s="1" t="s">
        <v>74</v>
      </c>
      <c r="BI50" s="1" t="s">
        <v>74</v>
      </c>
      <c r="BJ50" s="1" t="s">
        <v>74</v>
      </c>
      <c r="BK50" s="1" t="s">
        <v>74</v>
      </c>
      <c r="BL50" s="1" t="s">
        <v>74</v>
      </c>
      <c r="BM50" s="1" t="s">
        <v>74</v>
      </c>
      <c r="BN50" s="1">
        <v>2.6657324E7</v>
      </c>
      <c r="BO50" s="1" t="s">
        <v>74</v>
      </c>
      <c r="BP50" s="1" t="s">
        <v>74</v>
      </c>
      <c r="BQ50" s="1" t="s">
        <v>74</v>
      </c>
      <c r="BR50" s="1" t="s">
        <v>74</v>
      </c>
      <c r="BS50" s="1" t="s">
        <v>645</v>
      </c>
      <c r="BT50" s="1" t="str">
        <f>HYPERLINK("https%3A%2F%2Fwww.webofscience.com%2Fwos%2Fwoscc%2Ffull-record%2FWOS:000367569900008","View Full Record in Web of Science")</f>
        <v>View Full Record in Web of Science</v>
      </c>
    </row>
    <row r="51" ht="12.75" customHeight="1">
      <c r="A51" s="1" t="s">
        <v>72</v>
      </c>
      <c r="B51" s="1" t="s">
        <v>646</v>
      </c>
      <c r="C51" s="1" t="s">
        <v>74</v>
      </c>
      <c r="D51" s="1" t="s">
        <v>74</v>
      </c>
      <c r="E51" s="1" t="s">
        <v>74</v>
      </c>
      <c r="F51" s="1" t="s">
        <v>647</v>
      </c>
      <c r="G51" s="1" t="s">
        <v>74</v>
      </c>
      <c r="H51" s="1" t="s">
        <v>74</v>
      </c>
      <c r="I51" s="1" t="s">
        <v>648</v>
      </c>
      <c r="J51" s="1" t="s">
        <v>649</v>
      </c>
      <c r="K51" s="1" t="s">
        <v>74</v>
      </c>
      <c r="L51" s="1" t="s">
        <v>74</v>
      </c>
      <c r="M51" s="1" t="s">
        <v>74</v>
      </c>
      <c r="N51" s="1" t="s">
        <v>74</v>
      </c>
      <c r="O51" s="1" t="s">
        <v>74</v>
      </c>
      <c r="P51" s="1" t="s">
        <v>74</v>
      </c>
      <c r="Q51" s="1" t="s">
        <v>74</v>
      </c>
      <c r="R51" s="1" t="s">
        <v>74</v>
      </c>
      <c r="S51" s="1" t="s">
        <v>74</v>
      </c>
      <c r="T51" s="1" t="s">
        <v>74</v>
      </c>
      <c r="U51" s="1" t="s">
        <v>74</v>
      </c>
      <c r="V51" s="1" t="s">
        <v>74</v>
      </c>
      <c r="W51" s="1" t="s">
        <v>74</v>
      </c>
      <c r="X51" s="1" t="s">
        <v>74</v>
      </c>
      <c r="Y51" s="1" t="s">
        <v>74</v>
      </c>
      <c r="Z51" s="1" t="s">
        <v>74</v>
      </c>
      <c r="AA51" s="1" t="s">
        <v>650</v>
      </c>
      <c r="AB51" s="1" t="s">
        <v>74</v>
      </c>
      <c r="AC51" s="1" t="s">
        <v>74</v>
      </c>
      <c r="AD51" s="1" t="s">
        <v>74</v>
      </c>
      <c r="AE51" s="1" t="s">
        <v>74</v>
      </c>
      <c r="AF51" s="1" t="s">
        <v>74</v>
      </c>
      <c r="AG51" s="1" t="s">
        <v>74</v>
      </c>
      <c r="AH51" s="1" t="s">
        <v>74</v>
      </c>
      <c r="AI51" s="1" t="s">
        <v>74</v>
      </c>
      <c r="AJ51" s="1" t="s">
        <v>74</v>
      </c>
      <c r="AK51" s="1" t="s">
        <v>74</v>
      </c>
      <c r="AL51" s="1" t="s">
        <v>74</v>
      </c>
      <c r="AM51" s="1" t="s">
        <v>74</v>
      </c>
      <c r="AN51" s="1" t="s">
        <v>74</v>
      </c>
      <c r="AO51" s="1" t="s">
        <v>651</v>
      </c>
      <c r="AP51" s="1" t="s">
        <v>74</v>
      </c>
      <c r="AQ51" s="1" t="s">
        <v>74</v>
      </c>
      <c r="AR51" s="1" t="s">
        <v>74</v>
      </c>
      <c r="AS51" s="1" t="s">
        <v>74</v>
      </c>
      <c r="AT51" s="1" t="s">
        <v>74</v>
      </c>
      <c r="AU51" s="1">
        <v>2009.0</v>
      </c>
      <c r="AV51" s="1">
        <v>23.0</v>
      </c>
      <c r="AW51" s="1" t="s">
        <v>74</v>
      </c>
      <c r="AX51" s="1" t="s">
        <v>74</v>
      </c>
      <c r="AY51" s="1" t="s">
        <v>74</v>
      </c>
      <c r="AZ51" s="1" t="s">
        <v>74</v>
      </c>
      <c r="BA51" s="1" t="s">
        <v>652</v>
      </c>
      <c r="BB51" s="1" t="s">
        <v>653</v>
      </c>
      <c r="BC51" s="1" t="s">
        <v>654</v>
      </c>
      <c r="BD51" s="1" t="s">
        <v>74</v>
      </c>
      <c r="BE51" s="1" t="s">
        <v>74</v>
      </c>
      <c r="BF51" s="1" t="s">
        <v>74</v>
      </c>
      <c r="BG51" s="1" t="s">
        <v>74</v>
      </c>
      <c r="BH51" s="1" t="s">
        <v>74</v>
      </c>
      <c r="BI51" s="1" t="s">
        <v>74</v>
      </c>
      <c r="BJ51" s="1" t="s">
        <v>74</v>
      </c>
      <c r="BK51" s="1" t="s">
        <v>74</v>
      </c>
      <c r="BL51" s="1" t="s">
        <v>74</v>
      </c>
      <c r="BM51" s="1" t="s">
        <v>74</v>
      </c>
      <c r="BN51" s="1" t="s">
        <v>74</v>
      </c>
      <c r="BO51" s="1" t="s">
        <v>74</v>
      </c>
      <c r="BP51" s="1" t="s">
        <v>74</v>
      </c>
      <c r="BQ51" s="1" t="s">
        <v>74</v>
      </c>
      <c r="BR51" s="1" t="s">
        <v>74</v>
      </c>
      <c r="BS51" s="1" t="s">
        <v>655</v>
      </c>
      <c r="BT51" s="1" t="str">
        <f>HYPERLINK("https%3A%2F%2Fwww.webofscience.com%2Fwos%2Fwoscc%2Ffull-record%2FWOS:000263555500119","View Full Record in Web of Science")</f>
        <v>View Full Record in Web of Science</v>
      </c>
    </row>
    <row r="52" ht="12.75" customHeight="1">
      <c r="A52" s="1" t="s">
        <v>72</v>
      </c>
      <c r="B52" s="1" t="s">
        <v>656</v>
      </c>
      <c r="C52" s="1" t="s">
        <v>74</v>
      </c>
      <c r="D52" s="1" t="s">
        <v>74</v>
      </c>
      <c r="E52" s="1" t="s">
        <v>74</v>
      </c>
      <c r="F52" s="1" t="s">
        <v>657</v>
      </c>
      <c r="G52" s="1" t="s">
        <v>74</v>
      </c>
      <c r="H52" s="1" t="s">
        <v>74</v>
      </c>
      <c r="I52" s="1" t="s">
        <v>658</v>
      </c>
      <c r="J52" s="1" t="s">
        <v>659</v>
      </c>
      <c r="K52" s="1" t="s">
        <v>74</v>
      </c>
      <c r="L52" s="1" t="s">
        <v>74</v>
      </c>
      <c r="M52" s="1" t="s">
        <v>74</v>
      </c>
      <c r="N52" s="1" t="s">
        <v>74</v>
      </c>
      <c r="O52" s="1" t="s">
        <v>74</v>
      </c>
      <c r="P52" s="1" t="s">
        <v>74</v>
      </c>
      <c r="Q52" s="1" t="s">
        <v>74</v>
      </c>
      <c r="R52" s="1" t="s">
        <v>74</v>
      </c>
      <c r="S52" s="1" t="s">
        <v>74</v>
      </c>
      <c r="T52" s="1" t="s">
        <v>74</v>
      </c>
      <c r="U52" s="1" t="s">
        <v>74</v>
      </c>
      <c r="V52" s="1" t="s">
        <v>660</v>
      </c>
      <c r="W52" s="1" t="s">
        <v>74</v>
      </c>
      <c r="X52" s="1" t="s">
        <v>74</v>
      </c>
      <c r="Y52" s="1" t="s">
        <v>74</v>
      </c>
      <c r="Z52" s="1" t="s">
        <v>74</v>
      </c>
      <c r="AA52" s="1" t="s">
        <v>661</v>
      </c>
      <c r="AB52" s="1" t="s">
        <v>662</v>
      </c>
      <c r="AC52" s="1" t="s">
        <v>74</v>
      </c>
      <c r="AD52" s="1" t="s">
        <v>74</v>
      </c>
      <c r="AE52" s="1" t="s">
        <v>74</v>
      </c>
      <c r="AF52" s="1" t="s">
        <v>74</v>
      </c>
      <c r="AG52" s="1" t="s">
        <v>74</v>
      </c>
      <c r="AH52" s="1" t="s">
        <v>74</v>
      </c>
      <c r="AI52" s="1" t="s">
        <v>74</v>
      </c>
      <c r="AJ52" s="1" t="s">
        <v>74</v>
      </c>
      <c r="AK52" s="1" t="s">
        <v>74</v>
      </c>
      <c r="AL52" s="1" t="s">
        <v>74</v>
      </c>
      <c r="AM52" s="1" t="s">
        <v>74</v>
      </c>
      <c r="AN52" s="1" t="s">
        <v>74</v>
      </c>
      <c r="AO52" s="1" t="s">
        <v>663</v>
      </c>
      <c r="AP52" s="1" t="s">
        <v>664</v>
      </c>
      <c r="AQ52" s="1" t="s">
        <v>74</v>
      </c>
      <c r="AR52" s="1" t="s">
        <v>74</v>
      </c>
      <c r="AS52" s="1" t="s">
        <v>74</v>
      </c>
      <c r="AT52" s="1" t="s">
        <v>447</v>
      </c>
      <c r="AU52" s="1">
        <v>2008.0</v>
      </c>
      <c r="AV52" s="1">
        <v>22.0</v>
      </c>
      <c r="AW52" s="1">
        <v>8.0</v>
      </c>
      <c r="AX52" s="1" t="s">
        <v>74</v>
      </c>
      <c r="AY52" s="1" t="s">
        <v>74</v>
      </c>
      <c r="AZ52" s="1" t="s">
        <v>74</v>
      </c>
      <c r="BA52" s="1" t="s">
        <v>74</v>
      </c>
      <c r="BB52" s="1">
        <v>471.0</v>
      </c>
      <c r="BC52" s="1">
        <v>478.0</v>
      </c>
      <c r="BD52" s="1" t="s">
        <v>74</v>
      </c>
      <c r="BE52" s="1" t="s">
        <v>665</v>
      </c>
      <c r="BF52" s="2" t="str">
        <f>HYPERLINK("http://dx.doi.org/10.1002/aoc.1410","http://dx.doi.org/10.1002/aoc.1410")</f>
        <v>http://dx.doi.org/10.1002/aoc.1410</v>
      </c>
      <c r="BG52" s="1" t="s">
        <v>74</v>
      </c>
      <c r="BH52" s="1" t="s">
        <v>74</v>
      </c>
      <c r="BI52" s="1" t="s">
        <v>74</v>
      </c>
      <c r="BJ52" s="1" t="s">
        <v>74</v>
      </c>
      <c r="BK52" s="1" t="s">
        <v>74</v>
      </c>
      <c r="BL52" s="1" t="s">
        <v>74</v>
      </c>
      <c r="BM52" s="1" t="s">
        <v>74</v>
      </c>
      <c r="BN52" s="1" t="s">
        <v>74</v>
      </c>
      <c r="BO52" s="1" t="s">
        <v>74</v>
      </c>
      <c r="BP52" s="1" t="s">
        <v>74</v>
      </c>
      <c r="BQ52" s="1" t="s">
        <v>74</v>
      </c>
      <c r="BR52" s="1" t="s">
        <v>74</v>
      </c>
      <c r="BS52" s="1" t="s">
        <v>666</v>
      </c>
      <c r="BT52" s="1" t="str">
        <f>HYPERLINK("https%3A%2F%2Fwww.webofscience.com%2Fwos%2Fwoscc%2Ffull-record%2FWOS:000258053200008","View Full Record in Web of Science")</f>
        <v>View Full Record in Web of Science</v>
      </c>
    </row>
    <row r="53" ht="12.75" customHeight="1">
      <c r="A53" s="1" t="s">
        <v>72</v>
      </c>
      <c r="B53" s="1" t="s">
        <v>667</v>
      </c>
      <c r="C53" s="1" t="s">
        <v>74</v>
      </c>
      <c r="D53" s="1" t="s">
        <v>74</v>
      </c>
      <c r="E53" s="1" t="s">
        <v>74</v>
      </c>
      <c r="F53" s="1" t="s">
        <v>668</v>
      </c>
      <c r="G53" s="1" t="s">
        <v>74</v>
      </c>
      <c r="H53" s="1" t="s">
        <v>74</v>
      </c>
      <c r="I53" s="1" t="s">
        <v>669</v>
      </c>
      <c r="J53" s="1" t="s">
        <v>670</v>
      </c>
      <c r="K53" s="1" t="s">
        <v>74</v>
      </c>
      <c r="L53" s="1" t="s">
        <v>74</v>
      </c>
      <c r="M53" s="1" t="s">
        <v>74</v>
      </c>
      <c r="N53" s="1" t="s">
        <v>74</v>
      </c>
      <c r="O53" s="1" t="s">
        <v>74</v>
      </c>
      <c r="P53" s="1" t="s">
        <v>74</v>
      </c>
      <c r="Q53" s="1" t="s">
        <v>74</v>
      </c>
      <c r="R53" s="1" t="s">
        <v>74</v>
      </c>
      <c r="S53" s="1" t="s">
        <v>74</v>
      </c>
      <c r="T53" s="1" t="s">
        <v>74</v>
      </c>
      <c r="U53" s="1" t="s">
        <v>74</v>
      </c>
      <c r="V53" s="1" t="s">
        <v>671</v>
      </c>
      <c r="W53" s="1" t="s">
        <v>74</v>
      </c>
      <c r="X53" s="1" t="s">
        <v>74</v>
      </c>
      <c r="Y53" s="1" t="s">
        <v>74</v>
      </c>
      <c r="Z53" s="1" t="s">
        <v>74</v>
      </c>
      <c r="AA53" s="1" t="s">
        <v>672</v>
      </c>
      <c r="AB53" s="1" t="s">
        <v>673</v>
      </c>
      <c r="AC53" s="1" t="s">
        <v>74</v>
      </c>
      <c r="AD53" s="1" t="s">
        <v>74</v>
      </c>
      <c r="AE53" s="1" t="s">
        <v>74</v>
      </c>
      <c r="AF53" s="1" t="s">
        <v>74</v>
      </c>
      <c r="AG53" s="1" t="s">
        <v>74</v>
      </c>
      <c r="AH53" s="1" t="s">
        <v>74</v>
      </c>
      <c r="AI53" s="1" t="s">
        <v>74</v>
      </c>
      <c r="AJ53" s="1" t="s">
        <v>74</v>
      </c>
      <c r="AK53" s="1" t="s">
        <v>74</v>
      </c>
      <c r="AL53" s="1" t="s">
        <v>74</v>
      </c>
      <c r="AM53" s="1" t="s">
        <v>74</v>
      </c>
      <c r="AN53" s="1" t="s">
        <v>74</v>
      </c>
      <c r="AO53" s="1" t="s">
        <v>674</v>
      </c>
      <c r="AP53" s="1" t="s">
        <v>675</v>
      </c>
      <c r="AQ53" s="1" t="s">
        <v>74</v>
      </c>
      <c r="AR53" s="1" t="s">
        <v>74</v>
      </c>
      <c r="AS53" s="1" t="s">
        <v>74</v>
      </c>
      <c r="AT53" s="1" t="s">
        <v>334</v>
      </c>
      <c r="AU53" s="1">
        <v>2024.0</v>
      </c>
      <c r="AV53" s="1">
        <v>205.0</v>
      </c>
      <c r="AW53" s="1" t="s">
        <v>74</v>
      </c>
      <c r="AX53" s="1" t="s">
        <v>74</v>
      </c>
      <c r="AY53" s="1" t="s">
        <v>74</v>
      </c>
      <c r="AZ53" s="1" t="s">
        <v>74</v>
      </c>
      <c r="BA53" s="1" t="s">
        <v>74</v>
      </c>
      <c r="BB53" s="1" t="s">
        <v>74</v>
      </c>
      <c r="BC53" s="1" t="s">
        <v>74</v>
      </c>
      <c r="BD53" s="1">
        <v>111268.0</v>
      </c>
      <c r="BE53" s="1" t="s">
        <v>676</v>
      </c>
      <c r="BF53" s="2" t="str">
        <f>HYPERLINK("http://dx.doi.org/10.1016/j.microc.2024.111268","http://dx.doi.org/10.1016/j.microc.2024.111268")</f>
        <v>http://dx.doi.org/10.1016/j.microc.2024.111268</v>
      </c>
      <c r="BG53" s="1" t="s">
        <v>74</v>
      </c>
      <c r="BH53" s="1" t="s">
        <v>677</v>
      </c>
      <c r="BI53" s="1" t="s">
        <v>74</v>
      </c>
      <c r="BJ53" s="1" t="s">
        <v>74</v>
      </c>
      <c r="BK53" s="1" t="s">
        <v>74</v>
      </c>
      <c r="BL53" s="1" t="s">
        <v>74</v>
      </c>
      <c r="BM53" s="1" t="s">
        <v>74</v>
      </c>
      <c r="BN53" s="1" t="s">
        <v>74</v>
      </c>
      <c r="BO53" s="1" t="s">
        <v>74</v>
      </c>
      <c r="BP53" s="1" t="s">
        <v>74</v>
      </c>
      <c r="BQ53" s="1" t="s">
        <v>74</v>
      </c>
      <c r="BR53" s="1" t="s">
        <v>74</v>
      </c>
      <c r="BS53" s="1" t="s">
        <v>678</v>
      </c>
      <c r="BT53" s="1" t="str">
        <f>HYPERLINK("https%3A%2F%2Fwww.webofscience.com%2Fwos%2Fwoscc%2Ffull-record%2FWOS:001287376000001","View Full Record in Web of Science")</f>
        <v>View Full Record in Web of Science</v>
      </c>
    </row>
    <row r="54" ht="12.75" customHeight="1">
      <c r="A54" s="1" t="s">
        <v>72</v>
      </c>
      <c r="B54" s="1" t="s">
        <v>679</v>
      </c>
      <c r="C54" s="1" t="s">
        <v>74</v>
      </c>
      <c r="D54" s="1" t="s">
        <v>74</v>
      </c>
      <c r="E54" s="1" t="s">
        <v>74</v>
      </c>
      <c r="F54" s="1" t="s">
        <v>680</v>
      </c>
      <c r="G54" s="1" t="s">
        <v>74</v>
      </c>
      <c r="H54" s="1" t="s">
        <v>74</v>
      </c>
      <c r="I54" s="1" t="s">
        <v>681</v>
      </c>
      <c r="J54" s="1" t="s">
        <v>682</v>
      </c>
      <c r="K54" s="1" t="s">
        <v>74</v>
      </c>
      <c r="L54" s="1" t="s">
        <v>74</v>
      </c>
      <c r="M54" s="1" t="s">
        <v>74</v>
      </c>
      <c r="N54" s="1" t="s">
        <v>74</v>
      </c>
      <c r="O54" s="1" t="s">
        <v>74</v>
      </c>
      <c r="P54" s="1" t="s">
        <v>74</v>
      </c>
      <c r="Q54" s="1" t="s">
        <v>74</v>
      </c>
      <c r="R54" s="1" t="s">
        <v>74</v>
      </c>
      <c r="S54" s="1" t="s">
        <v>74</v>
      </c>
      <c r="T54" s="1" t="s">
        <v>74</v>
      </c>
      <c r="U54" s="1" t="s">
        <v>74</v>
      </c>
      <c r="V54" s="1" t="s">
        <v>683</v>
      </c>
      <c r="W54" s="1" t="s">
        <v>74</v>
      </c>
      <c r="X54" s="1" t="s">
        <v>74</v>
      </c>
      <c r="Y54" s="1" t="s">
        <v>74</v>
      </c>
      <c r="Z54" s="1" t="s">
        <v>74</v>
      </c>
      <c r="AA54" s="1" t="s">
        <v>684</v>
      </c>
      <c r="AB54" s="1" t="s">
        <v>685</v>
      </c>
      <c r="AC54" s="1" t="s">
        <v>74</v>
      </c>
      <c r="AD54" s="1" t="s">
        <v>74</v>
      </c>
      <c r="AE54" s="1" t="s">
        <v>74</v>
      </c>
      <c r="AF54" s="1" t="s">
        <v>74</v>
      </c>
      <c r="AG54" s="1" t="s">
        <v>74</v>
      </c>
      <c r="AH54" s="1" t="s">
        <v>74</v>
      </c>
      <c r="AI54" s="1" t="s">
        <v>74</v>
      </c>
      <c r="AJ54" s="1" t="s">
        <v>74</v>
      </c>
      <c r="AK54" s="1" t="s">
        <v>74</v>
      </c>
      <c r="AL54" s="1" t="s">
        <v>74</v>
      </c>
      <c r="AM54" s="1" t="s">
        <v>74</v>
      </c>
      <c r="AN54" s="1" t="s">
        <v>74</v>
      </c>
      <c r="AO54" s="1" t="s">
        <v>686</v>
      </c>
      <c r="AP54" s="1" t="s">
        <v>687</v>
      </c>
      <c r="AQ54" s="1" t="s">
        <v>74</v>
      </c>
      <c r="AR54" s="1" t="s">
        <v>74</v>
      </c>
      <c r="AS54" s="1" t="s">
        <v>74</v>
      </c>
      <c r="AT54" s="1" t="s">
        <v>334</v>
      </c>
      <c r="AU54" s="1">
        <v>2024.0</v>
      </c>
      <c r="AV54" s="1">
        <v>229.0</v>
      </c>
      <c r="AW54" s="1" t="s">
        <v>74</v>
      </c>
      <c r="AX54" s="1" t="s">
        <v>74</v>
      </c>
      <c r="AY54" s="1" t="s">
        <v>74</v>
      </c>
      <c r="AZ54" s="1" t="s">
        <v>74</v>
      </c>
      <c r="BA54" s="1" t="s">
        <v>74</v>
      </c>
      <c r="BB54" s="1" t="s">
        <v>74</v>
      </c>
      <c r="BC54" s="1" t="s">
        <v>74</v>
      </c>
      <c r="BD54" s="1">
        <v>112312.0</v>
      </c>
      <c r="BE54" s="1" t="s">
        <v>688</v>
      </c>
      <c r="BF54" s="2" t="str">
        <f>HYPERLINK("http://dx.doi.org/10.1016/j.dyepig.2024.112312","http://dx.doi.org/10.1016/j.dyepig.2024.112312")</f>
        <v>http://dx.doi.org/10.1016/j.dyepig.2024.112312</v>
      </c>
      <c r="BG54" s="1" t="s">
        <v>74</v>
      </c>
      <c r="BH54" s="1" t="s">
        <v>689</v>
      </c>
      <c r="BI54" s="1" t="s">
        <v>74</v>
      </c>
      <c r="BJ54" s="1" t="s">
        <v>74</v>
      </c>
      <c r="BK54" s="1" t="s">
        <v>74</v>
      </c>
      <c r="BL54" s="1" t="s">
        <v>74</v>
      </c>
      <c r="BM54" s="1" t="s">
        <v>74</v>
      </c>
      <c r="BN54" s="1" t="s">
        <v>74</v>
      </c>
      <c r="BO54" s="1" t="s">
        <v>74</v>
      </c>
      <c r="BP54" s="1" t="s">
        <v>74</v>
      </c>
      <c r="BQ54" s="1" t="s">
        <v>74</v>
      </c>
      <c r="BR54" s="1" t="s">
        <v>74</v>
      </c>
      <c r="BS54" s="1" t="s">
        <v>690</v>
      </c>
      <c r="BT54" s="1" t="str">
        <f>HYPERLINK("https%3A%2F%2Fwww.webofscience.com%2Fwos%2Fwoscc%2Ffull-record%2FWOS:001268337200001","View Full Record in Web of Science")</f>
        <v>View Full Record in Web of Science</v>
      </c>
    </row>
    <row r="55" ht="12.75" customHeight="1">
      <c r="A55" s="1" t="s">
        <v>72</v>
      </c>
      <c r="B55" s="1" t="s">
        <v>691</v>
      </c>
      <c r="C55" s="1" t="s">
        <v>74</v>
      </c>
      <c r="D55" s="1" t="s">
        <v>74</v>
      </c>
      <c r="E55" s="1" t="s">
        <v>74</v>
      </c>
      <c r="F55" s="1" t="s">
        <v>692</v>
      </c>
      <c r="G55" s="1" t="s">
        <v>74</v>
      </c>
      <c r="H55" s="1" t="s">
        <v>74</v>
      </c>
      <c r="I55" s="1" t="s">
        <v>693</v>
      </c>
      <c r="J55" s="1" t="s">
        <v>694</v>
      </c>
      <c r="K55" s="1" t="s">
        <v>74</v>
      </c>
      <c r="L55" s="1" t="s">
        <v>74</v>
      </c>
      <c r="M55" s="1" t="s">
        <v>74</v>
      </c>
      <c r="N55" s="1" t="s">
        <v>74</v>
      </c>
      <c r="O55" s="1" t="s">
        <v>74</v>
      </c>
      <c r="P55" s="1" t="s">
        <v>74</v>
      </c>
      <c r="Q55" s="1" t="s">
        <v>74</v>
      </c>
      <c r="R55" s="1" t="s">
        <v>74</v>
      </c>
      <c r="S55" s="1" t="s">
        <v>74</v>
      </c>
      <c r="T55" s="1" t="s">
        <v>74</v>
      </c>
      <c r="U55" s="1" t="s">
        <v>74</v>
      </c>
      <c r="V55" s="1" t="s">
        <v>695</v>
      </c>
      <c r="W55" s="1" t="s">
        <v>74</v>
      </c>
      <c r="X55" s="1" t="s">
        <v>74</v>
      </c>
      <c r="Y55" s="1" t="s">
        <v>74</v>
      </c>
      <c r="Z55" s="1" t="s">
        <v>74</v>
      </c>
      <c r="AA55" s="1" t="s">
        <v>696</v>
      </c>
      <c r="AB55" s="1" t="s">
        <v>697</v>
      </c>
      <c r="AC55" s="1" t="s">
        <v>74</v>
      </c>
      <c r="AD55" s="1" t="s">
        <v>74</v>
      </c>
      <c r="AE55" s="1" t="s">
        <v>74</v>
      </c>
      <c r="AF55" s="1" t="s">
        <v>74</v>
      </c>
      <c r="AG55" s="1" t="s">
        <v>74</v>
      </c>
      <c r="AH55" s="1" t="s">
        <v>74</v>
      </c>
      <c r="AI55" s="1" t="s">
        <v>74</v>
      </c>
      <c r="AJ55" s="1" t="s">
        <v>74</v>
      </c>
      <c r="AK55" s="1" t="s">
        <v>74</v>
      </c>
      <c r="AL55" s="1" t="s">
        <v>74</v>
      </c>
      <c r="AM55" s="1" t="s">
        <v>74</v>
      </c>
      <c r="AN55" s="1" t="s">
        <v>74</v>
      </c>
      <c r="AO55" s="1" t="s">
        <v>698</v>
      </c>
      <c r="AP55" s="1" t="s">
        <v>699</v>
      </c>
      <c r="AQ55" s="1" t="s">
        <v>74</v>
      </c>
      <c r="AR55" s="1" t="s">
        <v>74</v>
      </c>
      <c r="AS55" s="1" t="s">
        <v>74</v>
      </c>
      <c r="AT55" s="1" t="s">
        <v>700</v>
      </c>
      <c r="AU55" s="1">
        <v>2024.0</v>
      </c>
      <c r="AV55" s="1">
        <v>19.0</v>
      </c>
      <c r="AW55" s="1">
        <v>2.0</v>
      </c>
      <c r="AX55" s="1" t="s">
        <v>74</v>
      </c>
      <c r="AY55" s="1" t="s">
        <v>74</v>
      </c>
      <c r="AZ55" s="1" t="s">
        <v>74</v>
      </c>
      <c r="BA55" s="1" t="s">
        <v>74</v>
      </c>
      <c r="BB55" s="1">
        <v>69.0</v>
      </c>
      <c r="BC55" s="1">
        <v>84.0</v>
      </c>
      <c r="BD55" s="1" t="s">
        <v>74</v>
      </c>
      <c r="BE55" s="1" t="s">
        <v>701</v>
      </c>
      <c r="BF55" s="2" t="str">
        <f>HYPERLINK("http://dx.doi.org/10.1080/17470919.2024.2365172","http://dx.doi.org/10.1080/17470919.2024.2365172")</f>
        <v>http://dx.doi.org/10.1080/17470919.2024.2365172</v>
      </c>
      <c r="BG55" s="1" t="s">
        <v>74</v>
      </c>
      <c r="BH55" s="1" t="s">
        <v>702</v>
      </c>
      <c r="BI55" s="1" t="s">
        <v>74</v>
      </c>
      <c r="BJ55" s="1" t="s">
        <v>74</v>
      </c>
      <c r="BK55" s="1" t="s">
        <v>74</v>
      </c>
      <c r="BL55" s="1" t="s">
        <v>74</v>
      </c>
      <c r="BM55" s="1" t="s">
        <v>74</v>
      </c>
      <c r="BN55" s="1">
        <v>3.8888498E7</v>
      </c>
      <c r="BO55" s="1" t="s">
        <v>74</v>
      </c>
      <c r="BP55" s="1" t="s">
        <v>74</v>
      </c>
      <c r="BQ55" s="1" t="s">
        <v>74</v>
      </c>
      <c r="BR55" s="1" t="s">
        <v>74</v>
      </c>
      <c r="BS55" s="1" t="s">
        <v>703</v>
      </c>
      <c r="BT55" s="1" t="str">
        <f>HYPERLINK("https%3A%2F%2Fwww.webofscience.com%2Fwos%2Fwoscc%2Ffull-record%2FWOS:001249801700001","View Full Record in Web of Science")</f>
        <v>View Full Record in Web of Science</v>
      </c>
    </row>
    <row r="56" ht="12.75" customHeight="1">
      <c r="A56" s="1" t="s">
        <v>72</v>
      </c>
      <c r="B56" s="1" t="s">
        <v>704</v>
      </c>
      <c r="C56" s="1" t="s">
        <v>74</v>
      </c>
      <c r="D56" s="1" t="s">
        <v>74</v>
      </c>
      <c r="E56" s="1" t="s">
        <v>74</v>
      </c>
      <c r="F56" s="1" t="s">
        <v>705</v>
      </c>
      <c r="G56" s="1" t="s">
        <v>74</v>
      </c>
      <c r="H56" s="1" t="s">
        <v>74</v>
      </c>
      <c r="I56" s="1" t="s">
        <v>706</v>
      </c>
      <c r="J56" s="1" t="s">
        <v>707</v>
      </c>
      <c r="K56" s="1" t="s">
        <v>74</v>
      </c>
      <c r="L56" s="1" t="s">
        <v>74</v>
      </c>
      <c r="M56" s="1" t="s">
        <v>74</v>
      </c>
      <c r="N56" s="1" t="s">
        <v>74</v>
      </c>
      <c r="O56" s="1" t="s">
        <v>74</v>
      </c>
      <c r="P56" s="1" t="s">
        <v>74</v>
      </c>
      <c r="Q56" s="1" t="s">
        <v>74</v>
      </c>
      <c r="R56" s="1" t="s">
        <v>74</v>
      </c>
      <c r="S56" s="1" t="s">
        <v>74</v>
      </c>
      <c r="T56" s="1" t="s">
        <v>74</v>
      </c>
      <c r="U56" s="1" t="s">
        <v>74</v>
      </c>
      <c r="V56" s="1" t="s">
        <v>708</v>
      </c>
      <c r="W56" s="1" t="s">
        <v>74</v>
      </c>
      <c r="X56" s="1" t="s">
        <v>74</v>
      </c>
      <c r="Y56" s="1" t="s">
        <v>74</v>
      </c>
      <c r="Z56" s="1" t="s">
        <v>74</v>
      </c>
      <c r="AA56" s="1" t="s">
        <v>709</v>
      </c>
      <c r="AB56" s="1" t="s">
        <v>710</v>
      </c>
      <c r="AC56" s="1" t="s">
        <v>74</v>
      </c>
      <c r="AD56" s="1" t="s">
        <v>74</v>
      </c>
      <c r="AE56" s="1" t="s">
        <v>74</v>
      </c>
      <c r="AF56" s="1" t="s">
        <v>74</v>
      </c>
      <c r="AG56" s="1" t="s">
        <v>74</v>
      </c>
      <c r="AH56" s="1" t="s">
        <v>74</v>
      </c>
      <c r="AI56" s="1" t="s">
        <v>74</v>
      </c>
      <c r="AJ56" s="1" t="s">
        <v>74</v>
      </c>
      <c r="AK56" s="1" t="s">
        <v>74</v>
      </c>
      <c r="AL56" s="1" t="s">
        <v>74</v>
      </c>
      <c r="AM56" s="1" t="s">
        <v>74</v>
      </c>
      <c r="AN56" s="1" t="s">
        <v>74</v>
      </c>
      <c r="AO56" s="1" t="s">
        <v>74</v>
      </c>
      <c r="AP56" s="1" t="s">
        <v>711</v>
      </c>
      <c r="AQ56" s="1" t="s">
        <v>74</v>
      </c>
      <c r="AR56" s="1" t="s">
        <v>74</v>
      </c>
      <c r="AS56" s="1" t="s">
        <v>74</v>
      </c>
      <c r="AT56" s="1" t="s">
        <v>346</v>
      </c>
      <c r="AU56" s="1">
        <v>2024.0</v>
      </c>
      <c r="AV56" s="1">
        <v>12.0</v>
      </c>
      <c r="AW56" s="1">
        <v>3.0</v>
      </c>
      <c r="AX56" s="1" t="s">
        <v>74</v>
      </c>
      <c r="AY56" s="1" t="s">
        <v>74</v>
      </c>
      <c r="AZ56" s="1" t="s">
        <v>74</v>
      </c>
      <c r="BA56" s="1" t="s">
        <v>74</v>
      </c>
      <c r="BB56" s="1" t="s">
        <v>74</v>
      </c>
      <c r="BC56" s="1" t="s">
        <v>74</v>
      </c>
      <c r="BD56" s="1">
        <v>626.0</v>
      </c>
      <c r="BE56" s="1" t="s">
        <v>712</v>
      </c>
      <c r="BF56" s="2" t="str">
        <f>HYPERLINK("http://dx.doi.org/10.3390/microorganisms12030626","http://dx.doi.org/10.3390/microorganisms12030626")</f>
        <v>http://dx.doi.org/10.3390/microorganisms12030626</v>
      </c>
      <c r="BG56" s="1" t="s">
        <v>74</v>
      </c>
      <c r="BH56" s="1" t="s">
        <v>74</v>
      </c>
      <c r="BI56" s="1" t="s">
        <v>74</v>
      </c>
      <c r="BJ56" s="1" t="s">
        <v>74</v>
      </c>
      <c r="BK56" s="1" t="s">
        <v>74</v>
      </c>
      <c r="BL56" s="1" t="s">
        <v>74</v>
      </c>
      <c r="BM56" s="1" t="s">
        <v>74</v>
      </c>
      <c r="BN56" s="1">
        <v>3.8543677E7</v>
      </c>
      <c r="BO56" s="1" t="s">
        <v>74</v>
      </c>
      <c r="BP56" s="1" t="s">
        <v>74</v>
      </c>
      <c r="BQ56" s="1" t="s">
        <v>74</v>
      </c>
      <c r="BR56" s="1" t="s">
        <v>74</v>
      </c>
      <c r="BS56" s="1" t="s">
        <v>713</v>
      </c>
      <c r="BT56" s="1" t="str">
        <f>HYPERLINK("https%3A%2F%2Fwww.webofscience.com%2Fwos%2Fwoscc%2Ffull-record%2FWOS:001192866600001","View Full Record in Web of Science")</f>
        <v>View Full Record in Web of Science</v>
      </c>
    </row>
    <row r="57" ht="12.75" customHeight="1">
      <c r="A57" s="1" t="s">
        <v>72</v>
      </c>
      <c r="B57" s="1" t="s">
        <v>714</v>
      </c>
      <c r="C57" s="1" t="s">
        <v>74</v>
      </c>
      <c r="D57" s="1" t="s">
        <v>74</v>
      </c>
      <c r="E57" s="1" t="s">
        <v>74</v>
      </c>
      <c r="F57" s="1" t="s">
        <v>715</v>
      </c>
      <c r="G57" s="1" t="s">
        <v>74</v>
      </c>
      <c r="H57" s="1" t="s">
        <v>74</v>
      </c>
      <c r="I57" s="1" t="s">
        <v>716</v>
      </c>
      <c r="J57" s="1" t="s">
        <v>717</v>
      </c>
      <c r="K57" s="1" t="s">
        <v>74</v>
      </c>
      <c r="L57" s="1" t="s">
        <v>74</v>
      </c>
      <c r="M57" s="1" t="s">
        <v>74</v>
      </c>
      <c r="N57" s="1" t="s">
        <v>74</v>
      </c>
      <c r="O57" s="1" t="s">
        <v>74</v>
      </c>
      <c r="P57" s="1" t="s">
        <v>74</v>
      </c>
      <c r="Q57" s="1" t="s">
        <v>74</v>
      </c>
      <c r="R57" s="1" t="s">
        <v>74</v>
      </c>
      <c r="S57" s="1" t="s">
        <v>74</v>
      </c>
      <c r="T57" s="1" t="s">
        <v>74</v>
      </c>
      <c r="U57" s="1" t="s">
        <v>74</v>
      </c>
      <c r="V57" s="1" t="s">
        <v>718</v>
      </c>
      <c r="W57" s="1" t="s">
        <v>74</v>
      </c>
      <c r="X57" s="1" t="s">
        <v>74</v>
      </c>
      <c r="Y57" s="1" t="s">
        <v>74</v>
      </c>
      <c r="Z57" s="1" t="s">
        <v>74</v>
      </c>
      <c r="AA57" s="1" t="s">
        <v>719</v>
      </c>
      <c r="AB57" s="1" t="s">
        <v>720</v>
      </c>
      <c r="AC57" s="1" t="s">
        <v>74</v>
      </c>
      <c r="AD57" s="1" t="s">
        <v>74</v>
      </c>
      <c r="AE57" s="1" t="s">
        <v>74</v>
      </c>
      <c r="AF57" s="1" t="s">
        <v>74</v>
      </c>
      <c r="AG57" s="1" t="s">
        <v>74</v>
      </c>
      <c r="AH57" s="1" t="s">
        <v>74</v>
      </c>
      <c r="AI57" s="1" t="s">
        <v>74</v>
      </c>
      <c r="AJ57" s="1" t="s">
        <v>74</v>
      </c>
      <c r="AK57" s="1" t="s">
        <v>74</v>
      </c>
      <c r="AL57" s="1" t="s">
        <v>74</v>
      </c>
      <c r="AM57" s="1" t="s">
        <v>74</v>
      </c>
      <c r="AN57" s="1" t="s">
        <v>74</v>
      </c>
      <c r="AO57" s="1" t="s">
        <v>721</v>
      </c>
      <c r="AP57" s="1" t="s">
        <v>722</v>
      </c>
      <c r="AQ57" s="1" t="s">
        <v>74</v>
      </c>
      <c r="AR57" s="1" t="s">
        <v>74</v>
      </c>
      <c r="AS57" s="1" t="s">
        <v>74</v>
      </c>
      <c r="AT57" s="1" t="s">
        <v>723</v>
      </c>
      <c r="AU57" s="1">
        <v>2021.0</v>
      </c>
      <c r="AV57" s="1">
        <v>778.0</v>
      </c>
      <c r="AW57" s="1" t="s">
        <v>74</v>
      </c>
      <c r="AX57" s="1" t="s">
        <v>74</v>
      </c>
      <c r="AY57" s="1" t="s">
        <v>74</v>
      </c>
      <c r="AZ57" s="1" t="s">
        <v>74</v>
      </c>
      <c r="BA57" s="1" t="s">
        <v>74</v>
      </c>
      <c r="BB57" s="1" t="s">
        <v>74</v>
      </c>
      <c r="BC57" s="1" t="s">
        <v>74</v>
      </c>
      <c r="BD57" s="1">
        <v>146242.0</v>
      </c>
      <c r="BE57" s="1" t="s">
        <v>724</v>
      </c>
      <c r="BF57" s="2" t="str">
        <f>HYPERLINK("http://dx.doi.org/10.1016/j.scitotenv.2021.146242","http://dx.doi.org/10.1016/j.scitotenv.2021.146242")</f>
        <v>http://dx.doi.org/10.1016/j.scitotenv.2021.146242</v>
      </c>
      <c r="BG57" s="1" t="s">
        <v>74</v>
      </c>
      <c r="BH57" s="1" t="s">
        <v>254</v>
      </c>
      <c r="BI57" s="1" t="s">
        <v>74</v>
      </c>
      <c r="BJ57" s="1" t="s">
        <v>74</v>
      </c>
      <c r="BK57" s="1" t="s">
        <v>74</v>
      </c>
      <c r="BL57" s="1" t="s">
        <v>74</v>
      </c>
      <c r="BM57" s="1" t="s">
        <v>74</v>
      </c>
      <c r="BN57" s="1">
        <v>3.4030379E7</v>
      </c>
      <c r="BO57" s="1" t="s">
        <v>74</v>
      </c>
      <c r="BP57" s="1" t="s">
        <v>74</v>
      </c>
      <c r="BQ57" s="1" t="s">
        <v>74</v>
      </c>
      <c r="BR57" s="1" t="s">
        <v>74</v>
      </c>
      <c r="BS57" s="1" t="s">
        <v>725</v>
      </c>
      <c r="BT57" s="1" t="str">
        <f>HYPERLINK("https%3A%2F%2Fwww.webofscience.com%2Fwos%2Fwoscc%2Ffull-record%2FWOS:000655718800005","View Full Record in Web of Science")</f>
        <v>View Full Record in Web of Science</v>
      </c>
    </row>
    <row r="58" ht="12.75" customHeight="1">
      <c r="A58" s="1" t="s">
        <v>72</v>
      </c>
      <c r="B58" s="1" t="s">
        <v>726</v>
      </c>
      <c r="C58" s="1" t="s">
        <v>74</v>
      </c>
      <c r="D58" s="1" t="s">
        <v>74</v>
      </c>
      <c r="E58" s="1" t="s">
        <v>74</v>
      </c>
      <c r="F58" s="1" t="s">
        <v>727</v>
      </c>
      <c r="G58" s="1" t="s">
        <v>74</v>
      </c>
      <c r="H58" s="1" t="s">
        <v>74</v>
      </c>
      <c r="I58" s="1" t="s">
        <v>728</v>
      </c>
      <c r="J58" s="1" t="s">
        <v>729</v>
      </c>
      <c r="K58" s="1" t="s">
        <v>74</v>
      </c>
      <c r="L58" s="1" t="s">
        <v>74</v>
      </c>
      <c r="M58" s="1" t="s">
        <v>74</v>
      </c>
      <c r="N58" s="1" t="s">
        <v>74</v>
      </c>
      <c r="O58" s="1" t="s">
        <v>74</v>
      </c>
      <c r="P58" s="1" t="s">
        <v>74</v>
      </c>
      <c r="Q58" s="1" t="s">
        <v>74</v>
      </c>
      <c r="R58" s="1" t="s">
        <v>74</v>
      </c>
      <c r="S58" s="1" t="s">
        <v>74</v>
      </c>
      <c r="T58" s="1" t="s">
        <v>74</v>
      </c>
      <c r="U58" s="1" t="s">
        <v>74</v>
      </c>
      <c r="V58" s="1" t="s">
        <v>730</v>
      </c>
      <c r="W58" s="1" t="s">
        <v>74</v>
      </c>
      <c r="X58" s="1" t="s">
        <v>74</v>
      </c>
      <c r="Y58" s="1" t="s">
        <v>74</v>
      </c>
      <c r="Z58" s="1" t="s">
        <v>74</v>
      </c>
      <c r="AA58" s="1" t="s">
        <v>731</v>
      </c>
      <c r="AB58" s="1" t="s">
        <v>732</v>
      </c>
      <c r="AC58" s="1" t="s">
        <v>74</v>
      </c>
      <c r="AD58" s="1" t="s">
        <v>74</v>
      </c>
      <c r="AE58" s="1" t="s">
        <v>74</v>
      </c>
      <c r="AF58" s="1" t="s">
        <v>74</v>
      </c>
      <c r="AG58" s="1" t="s">
        <v>74</v>
      </c>
      <c r="AH58" s="1" t="s">
        <v>74</v>
      </c>
      <c r="AI58" s="1" t="s">
        <v>74</v>
      </c>
      <c r="AJ58" s="1" t="s">
        <v>74</v>
      </c>
      <c r="AK58" s="1" t="s">
        <v>74</v>
      </c>
      <c r="AL58" s="1" t="s">
        <v>74</v>
      </c>
      <c r="AM58" s="1" t="s">
        <v>74</v>
      </c>
      <c r="AN58" s="1" t="s">
        <v>74</v>
      </c>
      <c r="AO58" s="1" t="s">
        <v>733</v>
      </c>
      <c r="AP58" s="1" t="s">
        <v>734</v>
      </c>
      <c r="AQ58" s="1" t="s">
        <v>74</v>
      </c>
      <c r="AR58" s="1" t="s">
        <v>74</v>
      </c>
      <c r="AS58" s="1" t="s">
        <v>74</v>
      </c>
      <c r="AT58" s="1" t="s">
        <v>392</v>
      </c>
      <c r="AU58" s="1">
        <v>2010.0</v>
      </c>
      <c r="AV58" s="1">
        <v>36.0</v>
      </c>
      <c r="AW58" s="1">
        <v>4.0</v>
      </c>
      <c r="AX58" s="1" t="s">
        <v>74</v>
      </c>
      <c r="AY58" s="1" t="s">
        <v>74</v>
      </c>
      <c r="AZ58" s="1" t="s">
        <v>74</v>
      </c>
      <c r="BA58" s="1" t="s">
        <v>74</v>
      </c>
      <c r="BB58" s="1">
        <v>153.0</v>
      </c>
      <c r="BC58" s="1">
        <v>168.0</v>
      </c>
      <c r="BD58" s="1" t="s">
        <v>74</v>
      </c>
      <c r="BE58" s="1" t="s">
        <v>735</v>
      </c>
      <c r="BF58" s="2" t="str">
        <f>HYPERLINK("http://dx.doi.org/10.1016/j.parco.2010.02.001","http://dx.doi.org/10.1016/j.parco.2010.02.001")</f>
        <v>http://dx.doi.org/10.1016/j.parco.2010.02.001</v>
      </c>
      <c r="BG58" s="1" t="s">
        <v>74</v>
      </c>
      <c r="BH58" s="1" t="s">
        <v>74</v>
      </c>
      <c r="BI58" s="1" t="s">
        <v>74</v>
      </c>
      <c r="BJ58" s="1" t="s">
        <v>74</v>
      </c>
      <c r="BK58" s="1" t="s">
        <v>74</v>
      </c>
      <c r="BL58" s="1" t="s">
        <v>74</v>
      </c>
      <c r="BM58" s="1" t="s">
        <v>74</v>
      </c>
      <c r="BN58" s="1" t="s">
        <v>74</v>
      </c>
      <c r="BO58" s="1" t="s">
        <v>74</v>
      </c>
      <c r="BP58" s="1" t="s">
        <v>74</v>
      </c>
      <c r="BQ58" s="1" t="s">
        <v>74</v>
      </c>
      <c r="BR58" s="1" t="s">
        <v>74</v>
      </c>
      <c r="BS58" s="1" t="s">
        <v>736</v>
      </c>
      <c r="BT58" s="1" t="str">
        <f>HYPERLINK("https%3A%2F%2Fwww.webofscience.com%2Fwos%2Fwoscc%2Ffull-record%2FWOS:000277221000001","View Full Record in Web of Science")</f>
        <v>View Full Record in Web of Science</v>
      </c>
    </row>
    <row r="59" ht="12.75" customHeight="1">
      <c r="A59" s="1" t="s">
        <v>72</v>
      </c>
      <c r="B59" s="1" t="s">
        <v>737</v>
      </c>
      <c r="C59" s="1" t="s">
        <v>74</v>
      </c>
      <c r="D59" s="1" t="s">
        <v>74</v>
      </c>
      <c r="E59" s="1" t="s">
        <v>74</v>
      </c>
      <c r="F59" s="1" t="s">
        <v>737</v>
      </c>
      <c r="G59" s="1" t="s">
        <v>74</v>
      </c>
      <c r="H59" s="1" t="s">
        <v>74</v>
      </c>
      <c r="I59" s="1" t="s">
        <v>738</v>
      </c>
      <c r="J59" s="1" t="s">
        <v>739</v>
      </c>
      <c r="K59" s="1" t="s">
        <v>74</v>
      </c>
      <c r="L59" s="1" t="s">
        <v>74</v>
      </c>
      <c r="M59" s="1" t="s">
        <v>74</v>
      </c>
      <c r="N59" s="1" t="s">
        <v>74</v>
      </c>
      <c r="O59" s="1" t="s">
        <v>74</v>
      </c>
      <c r="P59" s="1" t="s">
        <v>74</v>
      </c>
      <c r="Q59" s="1" t="s">
        <v>74</v>
      </c>
      <c r="R59" s="1" t="s">
        <v>74</v>
      </c>
      <c r="S59" s="1" t="s">
        <v>74</v>
      </c>
      <c r="T59" s="1" t="s">
        <v>74</v>
      </c>
      <c r="U59" s="1" t="s">
        <v>74</v>
      </c>
      <c r="V59" s="1" t="s">
        <v>740</v>
      </c>
      <c r="W59" s="1" t="s">
        <v>74</v>
      </c>
      <c r="X59" s="1" t="s">
        <v>74</v>
      </c>
      <c r="Y59" s="1" t="s">
        <v>74</v>
      </c>
      <c r="Z59" s="1" t="s">
        <v>74</v>
      </c>
      <c r="AA59" s="1" t="s">
        <v>741</v>
      </c>
      <c r="AB59" s="1" t="s">
        <v>742</v>
      </c>
      <c r="AC59" s="1" t="s">
        <v>74</v>
      </c>
      <c r="AD59" s="1" t="s">
        <v>74</v>
      </c>
      <c r="AE59" s="1" t="s">
        <v>74</v>
      </c>
      <c r="AF59" s="1" t="s">
        <v>74</v>
      </c>
      <c r="AG59" s="1" t="s">
        <v>74</v>
      </c>
      <c r="AH59" s="1" t="s">
        <v>74</v>
      </c>
      <c r="AI59" s="1" t="s">
        <v>74</v>
      </c>
      <c r="AJ59" s="1" t="s">
        <v>74</v>
      </c>
      <c r="AK59" s="1" t="s">
        <v>74</v>
      </c>
      <c r="AL59" s="1" t="s">
        <v>74</v>
      </c>
      <c r="AM59" s="1" t="s">
        <v>74</v>
      </c>
      <c r="AN59" s="1" t="s">
        <v>74</v>
      </c>
      <c r="AO59" s="1" t="s">
        <v>743</v>
      </c>
      <c r="AP59" s="1" t="s">
        <v>744</v>
      </c>
      <c r="AQ59" s="1" t="s">
        <v>74</v>
      </c>
      <c r="AR59" s="1" t="s">
        <v>74</v>
      </c>
      <c r="AS59" s="1" t="s">
        <v>74</v>
      </c>
      <c r="AT59" s="1" t="s">
        <v>745</v>
      </c>
      <c r="AU59" s="1">
        <v>2004.0</v>
      </c>
      <c r="AV59" s="1">
        <v>70.0</v>
      </c>
      <c r="AW59" s="1">
        <v>3.0</v>
      </c>
      <c r="AX59" s="1" t="s">
        <v>74</v>
      </c>
      <c r="AY59" s="1" t="s">
        <v>74</v>
      </c>
      <c r="AZ59" s="1" t="s">
        <v>74</v>
      </c>
      <c r="BA59" s="1" t="s">
        <v>74</v>
      </c>
      <c r="BB59" s="1" t="s">
        <v>74</v>
      </c>
      <c r="BC59" s="1" t="s">
        <v>74</v>
      </c>
      <c r="BD59" s="1">
        <v>35112.0</v>
      </c>
      <c r="BE59" s="1" t="s">
        <v>746</v>
      </c>
      <c r="BF59" s="2" t="str">
        <f>HYPERLINK("http://dx.doi.org/10.1103/PhysRevB.70.035112","http://dx.doi.org/10.1103/PhysRevB.70.035112")</f>
        <v>http://dx.doi.org/10.1103/PhysRevB.70.035112</v>
      </c>
      <c r="BG59" s="1" t="s">
        <v>74</v>
      </c>
      <c r="BH59" s="1" t="s">
        <v>74</v>
      </c>
      <c r="BI59" s="1" t="s">
        <v>74</v>
      </c>
      <c r="BJ59" s="1" t="s">
        <v>74</v>
      </c>
      <c r="BK59" s="1" t="s">
        <v>74</v>
      </c>
      <c r="BL59" s="1" t="s">
        <v>74</v>
      </c>
      <c r="BM59" s="1" t="s">
        <v>74</v>
      </c>
      <c r="BN59" s="1" t="s">
        <v>74</v>
      </c>
      <c r="BO59" s="1" t="s">
        <v>74</v>
      </c>
      <c r="BP59" s="1" t="s">
        <v>74</v>
      </c>
      <c r="BQ59" s="1" t="s">
        <v>74</v>
      </c>
      <c r="BR59" s="1" t="s">
        <v>74</v>
      </c>
      <c r="BS59" s="1" t="s">
        <v>747</v>
      </c>
      <c r="BT59" s="1" t="str">
        <f>HYPERLINK("https%3A%2F%2Fwww.webofscience.com%2Fwos%2Fwoscc%2Ffull-record%2FWOS:000222996700042","View Full Record in Web of Science")</f>
        <v>View Full Record in Web of Science</v>
      </c>
    </row>
    <row r="60" ht="12.75" customHeight="1">
      <c r="A60" s="1" t="s">
        <v>72</v>
      </c>
      <c r="B60" s="1" t="s">
        <v>748</v>
      </c>
      <c r="C60" s="1" t="s">
        <v>74</v>
      </c>
      <c r="D60" s="1" t="s">
        <v>74</v>
      </c>
      <c r="E60" s="1" t="s">
        <v>74</v>
      </c>
      <c r="F60" s="1" t="s">
        <v>748</v>
      </c>
      <c r="G60" s="1" t="s">
        <v>74</v>
      </c>
      <c r="H60" s="1" t="s">
        <v>74</v>
      </c>
      <c r="I60" s="1" t="s">
        <v>749</v>
      </c>
      <c r="J60" s="1" t="s">
        <v>750</v>
      </c>
      <c r="K60" s="1" t="s">
        <v>74</v>
      </c>
      <c r="L60" s="1" t="s">
        <v>74</v>
      </c>
      <c r="M60" s="1" t="s">
        <v>74</v>
      </c>
      <c r="N60" s="1" t="s">
        <v>74</v>
      </c>
      <c r="O60" s="1" t="s">
        <v>74</v>
      </c>
      <c r="P60" s="1" t="s">
        <v>74</v>
      </c>
      <c r="Q60" s="1" t="s">
        <v>74</v>
      </c>
      <c r="R60" s="1" t="s">
        <v>74</v>
      </c>
      <c r="S60" s="1" t="s">
        <v>74</v>
      </c>
      <c r="T60" s="1" t="s">
        <v>74</v>
      </c>
      <c r="U60" s="1" t="s">
        <v>74</v>
      </c>
      <c r="V60" s="1" t="s">
        <v>751</v>
      </c>
      <c r="W60" s="1" t="s">
        <v>74</v>
      </c>
      <c r="X60" s="1" t="s">
        <v>74</v>
      </c>
      <c r="Y60" s="1" t="s">
        <v>74</v>
      </c>
      <c r="Z60" s="1" t="s">
        <v>74</v>
      </c>
      <c r="AA60" s="1" t="s">
        <v>74</v>
      </c>
      <c r="AB60" s="1" t="s">
        <v>752</v>
      </c>
      <c r="AC60" s="1" t="s">
        <v>74</v>
      </c>
      <c r="AD60" s="1" t="s">
        <v>74</v>
      </c>
      <c r="AE60" s="1" t="s">
        <v>74</v>
      </c>
      <c r="AF60" s="1" t="s">
        <v>74</v>
      </c>
      <c r="AG60" s="1" t="s">
        <v>74</v>
      </c>
      <c r="AH60" s="1" t="s">
        <v>74</v>
      </c>
      <c r="AI60" s="1" t="s">
        <v>74</v>
      </c>
      <c r="AJ60" s="1" t="s">
        <v>74</v>
      </c>
      <c r="AK60" s="1" t="s">
        <v>74</v>
      </c>
      <c r="AL60" s="1" t="s">
        <v>74</v>
      </c>
      <c r="AM60" s="1" t="s">
        <v>74</v>
      </c>
      <c r="AN60" s="1" t="s">
        <v>74</v>
      </c>
      <c r="AO60" s="1" t="s">
        <v>753</v>
      </c>
      <c r="AP60" s="1" t="s">
        <v>754</v>
      </c>
      <c r="AQ60" s="1" t="s">
        <v>74</v>
      </c>
      <c r="AR60" s="1" t="s">
        <v>74</v>
      </c>
      <c r="AS60" s="1" t="s">
        <v>74</v>
      </c>
      <c r="AT60" s="1" t="s">
        <v>755</v>
      </c>
      <c r="AU60" s="1">
        <v>2001.0</v>
      </c>
      <c r="AV60" s="1">
        <v>20.0</v>
      </c>
      <c r="AW60" s="1">
        <v>13.0</v>
      </c>
      <c r="AX60" s="1" t="s">
        <v>74</v>
      </c>
      <c r="AY60" s="1" t="s">
        <v>74</v>
      </c>
      <c r="AZ60" s="1" t="s">
        <v>74</v>
      </c>
      <c r="BA60" s="1" t="s">
        <v>74</v>
      </c>
      <c r="BB60" s="1">
        <v>2842.0</v>
      </c>
      <c r="BC60" s="1">
        <v>2853.0</v>
      </c>
      <c r="BD60" s="1" t="s">
        <v>74</v>
      </c>
      <c r="BE60" s="1" t="s">
        <v>756</v>
      </c>
      <c r="BF60" s="2" t="str">
        <f>HYPERLINK("http://dx.doi.org/10.1021/om000784p","http://dx.doi.org/10.1021/om000784p")</f>
        <v>http://dx.doi.org/10.1021/om000784p</v>
      </c>
      <c r="BG60" s="1" t="s">
        <v>74</v>
      </c>
      <c r="BH60" s="1" t="s">
        <v>74</v>
      </c>
      <c r="BI60" s="1" t="s">
        <v>74</v>
      </c>
      <c r="BJ60" s="1" t="s">
        <v>74</v>
      </c>
      <c r="BK60" s="1" t="s">
        <v>74</v>
      </c>
      <c r="BL60" s="1" t="s">
        <v>74</v>
      </c>
      <c r="BM60" s="1" t="s">
        <v>74</v>
      </c>
      <c r="BN60" s="1" t="s">
        <v>74</v>
      </c>
      <c r="BO60" s="1" t="s">
        <v>74</v>
      </c>
      <c r="BP60" s="1" t="s">
        <v>74</v>
      </c>
      <c r="BQ60" s="1" t="s">
        <v>74</v>
      </c>
      <c r="BR60" s="1" t="s">
        <v>74</v>
      </c>
      <c r="BS60" s="1" t="s">
        <v>757</v>
      </c>
      <c r="BT60" s="1" t="str">
        <f>HYPERLINK("https%3A%2F%2Fwww.webofscience.com%2Fwos%2Fwoscc%2Ffull-record%2FWOS:000169545500026","View Full Record in Web of Science")</f>
        <v>View Full Record in Web of Science</v>
      </c>
    </row>
    <row r="61" ht="12.75" customHeight="1">
      <c r="A61" s="1" t="s">
        <v>72</v>
      </c>
      <c r="B61" s="1" t="s">
        <v>758</v>
      </c>
      <c r="C61" s="1" t="s">
        <v>74</v>
      </c>
      <c r="D61" s="1" t="s">
        <v>74</v>
      </c>
      <c r="E61" s="1" t="s">
        <v>74</v>
      </c>
      <c r="F61" s="1" t="s">
        <v>759</v>
      </c>
      <c r="G61" s="1" t="s">
        <v>74</v>
      </c>
      <c r="H61" s="1" t="s">
        <v>74</v>
      </c>
      <c r="I61" s="1" t="s">
        <v>760</v>
      </c>
      <c r="J61" s="1" t="s">
        <v>352</v>
      </c>
      <c r="K61" s="1" t="s">
        <v>74</v>
      </c>
      <c r="L61" s="1" t="s">
        <v>74</v>
      </c>
      <c r="M61" s="1" t="s">
        <v>74</v>
      </c>
      <c r="N61" s="1" t="s">
        <v>74</v>
      </c>
      <c r="O61" s="1" t="s">
        <v>74</v>
      </c>
      <c r="P61" s="1" t="s">
        <v>74</v>
      </c>
      <c r="Q61" s="1" t="s">
        <v>74</v>
      </c>
      <c r="R61" s="1" t="s">
        <v>74</v>
      </c>
      <c r="S61" s="1" t="s">
        <v>74</v>
      </c>
      <c r="T61" s="1" t="s">
        <v>74</v>
      </c>
      <c r="U61" s="1" t="s">
        <v>74</v>
      </c>
      <c r="V61" s="1" t="s">
        <v>761</v>
      </c>
      <c r="W61" s="1" t="s">
        <v>74</v>
      </c>
      <c r="X61" s="1" t="s">
        <v>74</v>
      </c>
      <c r="Y61" s="1" t="s">
        <v>74</v>
      </c>
      <c r="Z61" s="1" t="s">
        <v>74</v>
      </c>
      <c r="AA61" s="1" t="s">
        <v>762</v>
      </c>
      <c r="AB61" s="1" t="s">
        <v>763</v>
      </c>
      <c r="AC61" s="1" t="s">
        <v>74</v>
      </c>
      <c r="AD61" s="1" t="s">
        <v>74</v>
      </c>
      <c r="AE61" s="1" t="s">
        <v>74</v>
      </c>
      <c r="AF61" s="1" t="s">
        <v>74</v>
      </c>
      <c r="AG61" s="1" t="s">
        <v>74</v>
      </c>
      <c r="AH61" s="1" t="s">
        <v>74</v>
      </c>
      <c r="AI61" s="1" t="s">
        <v>74</v>
      </c>
      <c r="AJ61" s="1" t="s">
        <v>74</v>
      </c>
      <c r="AK61" s="1" t="s">
        <v>74</v>
      </c>
      <c r="AL61" s="1" t="s">
        <v>74</v>
      </c>
      <c r="AM61" s="1" t="s">
        <v>74</v>
      </c>
      <c r="AN61" s="1" t="s">
        <v>74</v>
      </c>
      <c r="AO61" s="1" t="s">
        <v>356</v>
      </c>
      <c r="AP61" s="1" t="s">
        <v>357</v>
      </c>
      <c r="AQ61" s="1" t="s">
        <v>74</v>
      </c>
      <c r="AR61" s="1" t="s">
        <v>74</v>
      </c>
      <c r="AS61" s="1" t="s">
        <v>74</v>
      </c>
      <c r="AT61" s="1" t="s">
        <v>764</v>
      </c>
      <c r="AU61" s="1">
        <v>2024.0</v>
      </c>
      <c r="AV61" s="1">
        <v>64.0</v>
      </c>
      <c r="AW61" s="1" t="s">
        <v>74</v>
      </c>
      <c r="AX61" s="1" t="s">
        <v>74</v>
      </c>
      <c r="AY61" s="1" t="s">
        <v>74</v>
      </c>
      <c r="AZ61" s="1" t="s">
        <v>74</v>
      </c>
      <c r="BA61" s="1" t="s">
        <v>74</v>
      </c>
      <c r="BB61" s="1">
        <v>69.0</v>
      </c>
      <c r="BC61" s="1">
        <v>79.0</v>
      </c>
      <c r="BD61" s="1" t="s">
        <v>74</v>
      </c>
      <c r="BE61" s="1" t="s">
        <v>765</v>
      </c>
      <c r="BF61" s="2" t="str">
        <f>HYPERLINK("http://dx.doi.org/10.1016/j.ijhydene.2024.03.240","http://dx.doi.org/10.1016/j.ijhydene.2024.03.240")</f>
        <v>http://dx.doi.org/10.1016/j.ijhydene.2024.03.240</v>
      </c>
      <c r="BG61" s="1" t="s">
        <v>74</v>
      </c>
      <c r="BH61" s="1" t="s">
        <v>766</v>
      </c>
      <c r="BI61" s="1" t="s">
        <v>74</v>
      </c>
      <c r="BJ61" s="1" t="s">
        <v>74</v>
      </c>
      <c r="BK61" s="1" t="s">
        <v>74</v>
      </c>
      <c r="BL61" s="1" t="s">
        <v>74</v>
      </c>
      <c r="BM61" s="1" t="s">
        <v>74</v>
      </c>
      <c r="BN61" s="1" t="s">
        <v>74</v>
      </c>
      <c r="BO61" s="1" t="s">
        <v>74</v>
      </c>
      <c r="BP61" s="1" t="s">
        <v>74</v>
      </c>
      <c r="BQ61" s="1" t="s">
        <v>74</v>
      </c>
      <c r="BR61" s="1" t="s">
        <v>74</v>
      </c>
      <c r="BS61" s="1" t="s">
        <v>767</v>
      </c>
      <c r="BT61" s="1" t="str">
        <f>HYPERLINK("https%3A%2F%2Fwww.webofscience.com%2Fwos%2Fwoscc%2Ffull-record%2FWOS:001215425000001","View Full Record in Web of Science")</f>
        <v>View Full Record in Web of Science</v>
      </c>
    </row>
    <row r="62" ht="12.75" customHeight="1">
      <c r="A62" s="1" t="s">
        <v>72</v>
      </c>
      <c r="B62" s="1" t="s">
        <v>768</v>
      </c>
      <c r="C62" s="1" t="s">
        <v>74</v>
      </c>
      <c r="D62" s="1" t="s">
        <v>74</v>
      </c>
      <c r="E62" s="1" t="s">
        <v>74</v>
      </c>
      <c r="F62" s="1" t="s">
        <v>769</v>
      </c>
      <c r="G62" s="1" t="s">
        <v>74</v>
      </c>
      <c r="H62" s="1" t="s">
        <v>74</v>
      </c>
      <c r="I62" s="1" t="s">
        <v>770</v>
      </c>
      <c r="J62" s="1" t="s">
        <v>771</v>
      </c>
      <c r="K62" s="1" t="s">
        <v>74</v>
      </c>
      <c r="L62" s="1" t="s">
        <v>74</v>
      </c>
      <c r="M62" s="1" t="s">
        <v>74</v>
      </c>
      <c r="N62" s="1" t="s">
        <v>74</v>
      </c>
      <c r="O62" s="1" t="s">
        <v>74</v>
      </c>
      <c r="P62" s="1" t="s">
        <v>74</v>
      </c>
      <c r="Q62" s="1" t="s">
        <v>74</v>
      </c>
      <c r="R62" s="1" t="s">
        <v>74</v>
      </c>
      <c r="S62" s="1" t="s">
        <v>74</v>
      </c>
      <c r="T62" s="1" t="s">
        <v>74</v>
      </c>
      <c r="U62" s="1" t="s">
        <v>74</v>
      </c>
      <c r="V62" s="1" t="s">
        <v>772</v>
      </c>
      <c r="W62" s="1" t="s">
        <v>74</v>
      </c>
      <c r="X62" s="1" t="s">
        <v>74</v>
      </c>
      <c r="Y62" s="1" t="s">
        <v>74</v>
      </c>
      <c r="Z62" s="1" t="s">
        <v>74</v>
      </c>
      <c r="AA62" s="1" t="s">
        <v>773</v>
      </c>
      <c r="AB62" s="1" t="s">
        <v>774</v>
      </c>
      <c r="AC62" s="1" t="s">
        <v>74</v>
      </c>
      <c r="AD62" s="1" t="s">
        <v>74</v>
      </c>
      <c r="AE62" s="1" t="s">
        <v>74</v>
      </c>
      <c r="AF62" s="1" t="s">
        <v>74</v>
      </c>
      <c r="AG62" s="1" t="s">
        <v>74</v>
      </c>
      <c r="AH62" s="1" t="s">
        <v>74</v>
      </c>
      <c r="AI62" s="1" t="s">
        <v>74</v>
      </c>
      <c r="AJ62" s="1" t="s">
        <v>74</v>
      </c>
      <c r="AK62" s="1" t="s">
        <v>74</v>
      </c>
      <c r="AL62" s="1" t="s">
        <v>74</v>
      </c>
      <c r="AM62" s="1" t="s">
        <v>74</v>
      </c>
      <c r="AN62" s="1" t="s">
        <v>74</v>
      </c>
      <c r="AO62" s="1" t="s">
        <v>74</v>
      </c>
      <c r="AP62" s="1" t="s">
        <v>775</v>
      </c>
      <c r="AQ62" s="1" t="s">
        <v>74</v>
      </c>
      <c r="AR62" s="1" t="s">
        <v>74</v>
      </c>
      <c r="AS62" s="1" t="s">
        <v>74</v>
      </c>
      <c r="AT62" s="1" t="s">
        <v>106</v>
      </c>
      <c r="AU62" s="1">
        <v>2023.0</v>
      </c>
      <c r="AV62" s="1">
        <v>11.0</v>
      </c>
      <c r="AW62" s="1">
        <v>11.0</v>
      </c>
      <c r="AX62" s="1" t="s">
        <v>74</v>
      </c>
      <c r="AY62" s="1" t="s">
        <v>74</v>
      </c>
      <c r="AZ62" s="1" t="s">
        <v>74</v>
      </c>
      <c r="BA62" s="1" t="s">
        <v>74</v>
      </c>
      <c r="BB62" s="1" t="s">
        <v>74</v>
      </c>
      <c r="BC62" s="1" t="s">
        <v>74</v>
      </c>
      <c r="BD62" s="1">
        <v>219.0</v>
      </c>
      <c r="BE62" s="1" t="s">
        <v>776</v>
      </c>
      <c r="BF62" s="2" t="str">
        <f>HYPERLINK("http://dx.doi.org/10.3390/sports11110219","http://dx.doi.org/10.3390/sports11110219")</f>
        <v>http://dx.doi.org/10.3390/sports11110219</v>
      </c>
      <c r="BG62" s="1" t="s">
        <v>74</v>
      </c>
      <c r="BH62" s="1" t="s">
        <v>74</v>
      </c>
      <c r="BI62" s="1" t="s">
        <v>74</v>
      </c>
      <c r="BJ62" s="1" t="s">
        <v>74</v>
      </c>
      <c r="BK62" s="1" t="s">
        <v>74</v>
      </c>
      <c r="BL62" s="1" t="s">
        <v>74</v>
      </c>
      <c r="BM62" s="1" t="s">
        <v>74</v>
      </c>
      <c r="BN62" s="1">
        <v>3.7999436E7</v>
      </c>
      <c r="BO62" s="1" t="s">
        <v>74</v>
      </c>
      <c r="BP62" s="1" t="s">
        <v>74</v>
      </c>
      <c r="BQ62" s="1" t="s">
        <v>74</v>
      </c>
      <c r="BR62" s="1" t="s">
        <v>74</v>
      </c>
      <c r="BS62" s="1" t="s">
        <v>777</v>
      </c>
      <c r="BT62" s="1" t="str">
        <f>HYPERLINK("https%3A%2F%2Fwww.webofscience.com%2Fwos%2Fwoscc%2Ffull-record%2FWOS:001114567300001","View Full Record in Web of Science")</f>
        <v>View Full Record in Web of Science</v>
      </c>
    </row>
    <row r="63" ht="12.75" customHeight="1">
      <c r="A63" s="1" t="s">
        <v>72</v>
      </c>
      <c r="B63" s="1" t="s">
        <v>778</v>
      </c>
      <c r="C63" s="1" t="s">
        <v>74</v>
      </c>
      <c r="D63" s="1" t="s">
        <v>74</v>
      </c>
      <c r="E63" s="1" t="s">
        <v>74</v>
      </c>
      <c r="F63" s="1" t="s">
        <v>779</v>
      </c>
      <c r="G63" s="1" t="s">
        <v>74</v>
      </c>
      <c r="H63" s="1" t="s">
        <v>74</v>
      </c>
      <c r="I63" s="1" t="s">
        <v>780</v>
      </c>
      <c r="J63" s="1" t="s">
        <v>781</v>
      </c>
      <c r="K63" s="1" t="s">
        <v>74</v>
      </c>
      <c r="L63" s="1" t="s">
        <v>74</v>
      </c>
      <c r="M63" s="1" t="s">
        <v>74</v>
      </c>
      <c r="N63" s="1" t="s">
        <v>74</v>
      </c>
      <c r="O63" s="1" t="s">
        <v>74</v>
      </c>
      <c r="P63" s="1" t="s">
        <v>74</v>
      </c>
      <c r="Q63" s="1" t="s">
        <v>74</v>
      </c>
      <c r="R63" s="1" t="s">
        <v>74</v>
      </c>
      <c r="S63" s="1" t="s">
        <v>74</v>
      </c>
      <c r="T63" s="1" t="s">
        <v>74</v>
      </c>
      <c r="U63" s="1" t="s">
        <v>74</v>
      </c>
      <c r="V63" s="1" t="s">
        <v>782</v>
      </c>
      <c r="W63" s="1" t="s">
        <v>74</v>
      </c>
      <c r="X63" s="1" t="s">
        <v>74</v>
      </c>
      <c r="Y63" s="1" t="s">
        <v>74</v>
      </c>
      <c r="Z63" s="1" t="s">
        <v>74</v>
      </c>
      <c r="AA63" s="1" t="s">
        <v>783</v>
      </c>
      <c r="AB63" s="1" t="s">
        <v>784</v>
      </c>
      <c r="AC63" s="1" t="s">
        <v>74</v>
      </c>
      <c r="AD63" s="1" t="s">
        <v>74</v>
      </c>
      <c r="AE63" s="1" t="s">
        <v>74</v>
      </c>
      <c r="AF63" s="1" t="s">
        <v>74</v>
      </c>
      <c r="AG63" s="1" t="s">
        <v>74</v>
      </c>
      <c r="AH63" s="1" t="s">
        <v>74</v>
      </c>
      <c r="AI63" s="1" t="s">
        <v>74</v>
      </c>
      <c r="AJ63" s="1" t="s">
        <v>74</v>
      </c>
      <c r="AK63" s="1" t="s">
        <v>74</v>
      </c>
      <c r="AL63" s="1" t="s">
        <v>74</v>
      </c>
      <c r="AM63" s="1" t="s">
        <v>74</v>
      </c>
      <c r="AN63" s="1" t="s">
        <v>74</v>
      </c>
      <c r="AO63" s="1" t="s">
        <v>785</v>
      </c>
      <c r="AP63" s="1" t="s">
        <v>786</v>
      </c>
      <c r="AQ63" s="1" t="s">
        <v>74</v>
      </c>
      <c r="AR63" s="1" t="s">
        <v>74</v>
      </c>
      <c r="AS63" s="1" t="s">
        <v>74</v>
      </c>
      <c r="AT63" s="1" t="s">
        <v>787</v>
      </c>
      <c r="AU63" s="1">
        <v>2022.0</v>
      </c>
      <c r="AV63" s="1">
        <v>293.0</v>
      </c>
      <c r="AW63" s="1" t="s">
        <v>74</v>
      </c>
      <c r="AX63" s="1" t="s">
        <v>74</v>
      </c>
      <c r="AY63" s="1" t="s">
        <v>74</v>
      </c>
      <c r="AZ63" s="1" t="s">
        <v>74</v>
      </c>
      <c r="BA63" s="1" t="s">
        <v>74</v>
      </c>
      <c r="BB63" s="1" t="s">
        <v>74</v>
      </c>
      <c r="BC63" s="1" t="s">
        <v>74</v>
      </c>
      <c r="BD63" s="1">
        <v>118581.0</v>
      </c>
      <c r="BE63" s="1" t="s">
        <v>788</v>
      </c>
      <c r="BF63" s="2" t="str">
        <f>HYPERLINK("http://dx.doi.org/10.1016/j.envpol.2021.118581","http://dx.doi.org/10.1016/j.envpol.2021.118581")</f>
        <v>http://dx.doi.org/10.1016/j.envpol.2021.118581</v>
      </c>
      <c r="BG63" s="1" t="s">
        <v>74</v>
      </c>
      <c r="BH63" s="1" t="s">
        <v>74</v>
      </c>
      <c r="BI63" s="1" t="s">
        <v>74</v>
      </c>
      <c r="BJ63" s="1" t="s">
        <v>74</v>
      </c>
      <c r="BK63" s="1" t="s">
        <v>74</v>
      </c>
      <c r="BL63" s="1" t="s">
        <v>74</v>
      </c>
      <c r="BM63" s="1" t="s">
        <v>74</v>
      </c>
      <c r="BN63" s="1">
        <v>3.4861332E7</v>
      </c>
      <c r="BO63" s="1" t="s">
        <v>74</v>
      </c>
      <c r="BP63" s="1" t="s">
        <v>74</v>
      </c>
      <c r="BQ63" s="1" t="s">
        <v>74</v>
      </c>
      <c r="BR63" s="1" t="s">
        <v>74</v>
      </c>
      <c r="BS63" s="1" t="s">
        <v>789</v>
      </c>
      <c r="BT63" s="1" t="str">
        <f>HYPERLINK("https%3A%2F%2Fwww.webofscience.com%2Fwos%2Fwoscc%2Ffull-record%2FWOS:000758385100008","View Full Record in Web of Science")</f>
        <v>View Full Record in Web of Science</v>
      </c>
    </row>
    <row r="64" ht="12.75" customHeight="1">
      <c r="A64" s="1" t="s">
        <v>72</v>
      </c>
      <c r="B64" s="1" t="s">
        <v>790</v>
      </c>
      <c r="C64" s="1" t="s">
        <v>74</v>
      </c>
      <c r="D64" s="1" t="s">
        <v>74</v>
      </c>
      <c r="E64" s="1" t="s">
        <v>74</v>
      </c>
      <c r="F64" s="1" t="s">
        <v>791</v>
      </c>
      <c r="G64" s="1" t="s">
        <v>74</v>
      </c>
      <c r="H64" s="1" t="s">
        <v>74</v>
      </c>
      <c r="I64" s="1" t="s">
        <v>792</v>
      </c>
      <c r="J64" s="1" t="s">
        <v>793</v>
      </c>
      <c r="K64" s="1" t="s">
        <v>74</v>
      </c>
      <c r="L64" s="1" t="s">
        <v>74</v>
      </c>
      <c r="M64" s="1" t="s">
        <v>74</v>
      </c>
      <c r="N64" s="1" t="s">
        <v>74</v>
      </c>
      <c r="O64" s="1" t="s">
        <v>794</v>
      </c>
      <c r="P64" s="1" t="s">
        <v>795</v>
      </c>
      <c r="Q64" s="1" t="s">
        <v>796</v>
      </c>
      <c r="R64" s="1" t="s">
        <v>74</v>
      </c>
      <c r="S64" s="1" t="s">
        <v>797</v>
      </c>
      <c r="T64" s="1" t="s">
        <v>74</v>
      </c>
      <c r="U64" s="1" t="s">
        <v>74</v>
      </c>
      <c r="V64" s="1" t="s">
        <v>798</v>
      </c>
      <c r="W64" s="1" t="s">
        <v>74</v>
      </c>
      <c r="X64" s="1" t="s">
        <v>74</v>
      </c>
      <c r="Y64" s="1" t="s">
        <v>74</v>
      </c>
      <c r="Z64" s="1" t="s">
        <v>74</v>
      </c>
      <c r="AA64" s="1" t="s">
        <v>799</v>
      </c>
      <c r="AB64" s="1" t="s">
        <v>800</v>
      </c>
      <c r="AC64" s="1" t="s">
        <v>74</v>
      </c>
      <c r="AD64" s="1" t="s">
        <v>74</v>
      </c>
      <c r="AE64" s="1" t="s">
        <v>74</v>
      </c>
      <c r="AF64" s="1" t="s">
        <v>74</v>
      </c>
      <c r="AG64" s="1" t="s">
        <v>74</v>
      </c>
      <c r="AH64" s="1" t="s">
        <v>74</v>
      </c>
      <c r="AI64" s="1" t="s">
        <v>74</v>
      </c>
      <c r="AJ64" s="1" t="s">
        <v>74</v>
      </c>
      <c r="AK64" s="1" t="s">
        <v>74</v>
      </c>
      <c r="AL64" s="1" t="s">
        <v>74</v>
      </c>
      <c r="AM64" s="1" t="s">
        <v>74</v>
      </c>
      <c r="AN64" s="1" t="s">
        <v>74</v>
      </c>
      <c r="AO64" s="1" t="s">
        <v>801</v>
      </c>
      <c r="AP64" s="1" t="s">
        <v>802</v>
      </c>
      <c r="AQ64" s="1" t="s">
        <v>74</v>
      </c>
      <c r="AR64" s="1" t="s">
        <v>74</v>
      </c>
      <c r="AS64" s="1" t="s">
        <v>74</v>
      </c>
      <c r="AT64" s="1" t="s">
        <v>346</v>
      </c>
      <c r="AU64" s="1">
        <v>2019.0</v>
      </c>
      <c r="AV64" s="1">
        <v>77.0</v>
      </c>
      <c r="AW64" s="1" t="s">
        <v>74</v>
      </c>
      <c r="AX64" s="1" t="s">
        <v>74</v>
      </c>
      <c r="AY64" s="1" t="s">
        <v>74</v>
      </c>
      <c r="AZ64" s="1" t="s">
        <v>74</v>
      </c>
      <c r="BA64" s="1" t="s">
        <v>74</v>
      </c>
      <c r="BB64" s="1">
        <v>51.0</v>
      </c>
      <c r="BC64" s="1">
        <v>61.0</v>
      </c>
      <c r="BD64" s="1" t="s">
        <v>74</v>
      </c>
      <c r="BE64" s="1" t="s">
        <v>803</v>
      </c>
      <c r="BF64" s="2" t="str">
        <f>HYPERLINK("http://dx.doi.org/10.1016/j.comgeo.2018.02.005","http://dx.doi.org/10.1016/j.comgeo.2018.02.005")</f>
        <v>http://dx.doi.org/10.1016/j.comgeo.2018.02.005</v>
      </c>
      <c r="BG64" s="1" t="s">
        <v>74</v>
      </c>
      <c r="BH64" s="1" t="s">
        <v>74</v>
      </c>
      <c r="BI64" s="1" t="s">
        <v>74</v>
      </c>
      <c r="BJ64" s="1" t="s">
        <v>74</v>
      </c>
      <c r="BK64" s="1" t="s">
        <v>74</v>
      </c>
      <c r="BL64" s="1" t="s">
        <v>74</v>
      </c>
      <c r="BM64" s="1" t="s">
        <v>74</v>
      </c>
      <c r="BN64" s="1" t="s">
        <v>74</v>
      </c>
      <c r="BO64" s="1" t="s">
        <v>74</v>
      </c>
      <c r="BP64" s="1" t="s">
        <v>74</v>
      </c>
      <c r="BQ64" s="1" t="s">
        <v>74</v>
      </c>
      <c r="BR64" s="1" t="s">
        <v>74</v>
      </c>
      <c r="BS64" s="1" t="s">
        <v>804</v>
      </c>
      <c r="BT64" s="1" t="str">
        <f>HYPERLINK("https%3A%2F%2Fwww.webofscience.com%2Fwos%2Fwoscc%2Ffull-record%2FWOS:000454975800006","View Full Record in Web of Science")</f>
        <v>View Full Record in Web of Science</v>
      </c>
    </row>
    <row r="65" ht="12.75" customHeight="1">
      <c r="A65" s="1" t="s">
        <v>72</v>
      </c>
      <c r="B65" s="1" t="s">
        <v>805</v>
      </c>
      <c r="C65" s="1" t="s">
        <v>74</v>
      </c>
      <c r="D65" s="1" t="s">
        <v>74</v>
      </c>
      <c r="E65" s="1" t="s">
        <v>74</v>
      </c>
      <c r="F65" s="1" t="s">
        <v>806</v>
      </c>
      <c r="G65" s="1" t="s">
        <v>74</v>
      </c>
      <c r="H65" s="1" t="s">
        <v>74</v>
      </c>
      <c r="I65" s="1" t="s">
        <v>807</v>
      </c>
      <c r="J65" s="1" t="s">
        <v>808</v>
      </c>
      <c r="K65" s="1" t="s">
        <v>74</v>
      </c>
      <c r="L65" s="1" t="s">
        <v>74</v>
      </c>
      <c r="M65" s="1" t="s">
        <v>74</v>
      </c>
      <c r="N65" s="1" t="s">
        <v>74</v>
      </c>
      <c r="O65" s="1" t="s">
        <v>809</v>
      </c>
      <c r="P65" s="1" t="s">
        <v>810</v>
      </c>
      <c r="Q65" s="1" t="s">
        <v>811</v>
      </c>
      <c r="R65" s="1" t="s">
        <v>812</v>
      </c>
      <c r="S65" s="1" t="s">
        <v>74</v>
      </c>
      <c r="T65" s="1" t="s">
        <v>74</v>
      </c>
      <c r="U65" s="1" t="s">
        <v>74</v>
      </c>
      <c r="V65" s="1" t="s">
        <v>74</v>
      </c>
      <c r="W65" s="1" t="s">
        <v>74</v>
      </c>
      <c r="X65" s="1" t="s">
        <v>74</v>
      </c>
      <c r="Y65" s="1" t="s">
        <v>74</v>
      </c>
      <c r="Z65" s="1" t="s">
        <v>74</v>
      </c>
      <c r="AA65" s="1" t="s">
        <v>813</v>
      </c>
      <c r="AB65" s="1" t="s">
        <v>74</v>
      </c>
      <c r="AC65" s="1" t="s">
        <v>74</v>
      </c>
      <c r="AD65" s="1" t="s">
        <v>74</v>
      </c>
      <c r="AE65" s="1" t="s">
        <v>74</v>
      </c>
      <c r="AF65" s="1" t="s">
        <v>74</v>
      </c>
      <c r="AG65" s="1" t="s">
        <v>74</v>
      </c>
      <c r="AH65" s="1" t="s">
        <v>74</v>
      </c>
      <c r="AI65" s="1" t="s">
        <v>74</v>
      </c>
      <c r="AJ65" s="1" t="s">
        <v>74</v>
      </c>
      <c r="AK65" s="1" t="s">
        <v>74</v>
      </c>
      <c r="AL65" s="1" t="s">
        <v>74</v>
      </c>
      <c r="AM65" s="1" t="s">
        <v>74</v>
      </c>
      <c r="AN65" s="1" t="s">
        <v>74</v>
      </c>
      <c r="AO65" s="1" t="s">
        <v>814</v>
      </c>
      <c r="AP65" s="1" t="s">
        <v>815</v>
      </c>
      <c r="AQ65" s="1" t="s">
        <v>74</v>
      </c>
      <c r="AR65" s="1" t="s">
        <v>74</v>
      </c>
      <c r="AS65" s="1" t="s">
        <v>74</v>
      </c>
      <c r="AT65" s="1" t="s">
        <v>94</v>
      </c>
      <c r="AU65" s="1">
        <v>2017.0</v>
      </c>
      <c r="AV65" s="1">
        <v>23.0</v>
      </c>
      <c r="AW65" s="1" t="s">
        <v>74</v>
      </c>
      <c r="AX65" s="1" t="s">
        <v>74</v>
      </c>
      <c r="AY65" s="1">
        <v>1.0</v>
      </c>
      <c r="AZ65" s="1" t="s">
        <v>74</v>
      </c>
      <c r="BA65" s="1">
        <v>375.0</v>
      </c>
      <c r="BB65" s="1" t="s">
        <v>816</v>
      </c>
      <c r="BC65" s="1" t="s">
        <v>816</v>
      </c>
      <c r="BD65" s="1" t="s">
        <v>74</v>
      </c>
      <c r="BE65" s="1" t="s">
        <v>74</v>
      </c>
      <c r="BF65" s="1" t="s">
        <v>74</v>
      </c>
      <c r="BG65" s="1" t="s">
        <v>74</v>
      </c>
      <c r="BH65" s="1" t="s">
        <v>74</v>
      </c>
      <c r="BI65" s="1" t="s">
        <v>74</v>
      </c>
      <c r="BJ65" s="1" t="s">
        <v>74</v>
      </c>
      <c r="BK65" s="1" t="s">
        <v>74</v>
      </c>
      <c r="BL65" s="1" t="s">
        <v>74</v>
      </c>
      <c r="BM65" s="1" t="s">
        <v>74</v>
      </c>
      <c r="BN65" s="1" t="s">
        <v>74</v>
      </c>
      <c r="BO65" s="1" t="s">
        <v>74</v>
      </c>
      <c r="BP65" s="1" t="s">
        <v>74</v>
      </c>
      <c r="BQ65" s="1" t="s">
        <v>74</v>
      </c>
      <c r="BR65" s="1" t="s">
        <v>74</v>
      </c>
      <c r="BS65" s="1" t="s">
        <v>817</v>
      </c>
      <c r="BT65" s="1" t="str">
        <f>HYPERLINK("https%3A%2F%2Fwww.webofscience.com%2Fwos%2Fwoscc%2Ffull-record%2FWOS:000416247300360","View Full Record in Web of Science")</f>
        <v>View Full Record in Web of Science</v>
      </c>
    </row>
    <row r="66" ht="12.75" customHeight="1">
      <c r="A66" s="1" t="s">
        <v>72</v>
      </c>
      <c r="B66" s="1" t="s">
        <v>818</v>
      </c>
      <c r="C66" s="1" t="s">
        <v>74</v>
      </c>
      <c r="D66" s="1" t="s">
        <v>74</v>
      </c>
      <c r="E66" s="1" t="s">
        <v>74</v>
      </c>
      <c r="F66" s="1" t="s">
        <v>819</v>
      </c>
      <c r="G66" s="1" t="s">
        <v>74</v>
      </c>
      <c r="H66" s="1" t="s">
        <v>74</v>
      </c>
      <c r="I66" s="1" t="s">
        <v>820</v>
      </c>
      <c r="J66" s="1" t="s">
        <v>821</v>
      </c>
      <c r="K66" s="1" t="s">
        <v>74</v>
      </c>
      <c r="L66" s="1" t="s">
        <v>74</v>
      </c>
      <c r="M66" s="1" t="s">
        <v>74</v>
      </c>
      <c r="N66" s="1" t="s">
        <v>74</v>
      </c>
      <c r="O66" s="1" t="s">
        <v>74</v>
      </c>
      <c r="P66" s="1" t="s">
        <v>74</v>
      </c>
      <c r="Q66" s="1" t="s">
        <v>74</v>
      </c>
      <c r="R66" s="1" t="s">
        <v>74</v>
      </c>
      <c r="S66" s="1" t="s">
        <v>74</v>
      </c>
      <c r="T66" s="1" t="s">
        <v>74</v>
      </c>
      <c r="U66" s="1" t="s">
        <v>74</v>
      </c>
      <c r="V66" s="1" t="s">
        <v>822</v>
      </c>
      <c r="W66" s="1" t="s">
        <v>74</v>
      </c>
      <c r="X66" s="1" t="s">
        <v>74</v>
      </c>
      <c r="Y66" s="1" t="s">
        <v>74</v>
      </c>
      <c r="Z66" s="1" t="s">
        <v>74</v>
      </c>
      <c r="AA66" s="1" t="s">
        <v>823</v>
      </c>
      <c r="AB66" s="1" t="s">
        <v>824</v>
      </c>
      <c r="AC66" s="1" t="s">
        <v>74</v>
      </c>
      <c r="AD66" s="1" t="s">
        <v>74</v>
      </c>
      <c r="AE66" s="1" t="s">
        <v>74</v>
      </c>
      <c r="AF66" s="1" t="s">
        <v>74</v>
      </c>
      <c r="AG66" s="1" t="s">
        <v>74</v>
      </c>
      <c r="AH66" s="1" t="s">
        <v>74</v>
      </c>
      <c r="AI66" s="1" t="s">
        <v>74</v>
      </c>
      <c r="AJ66" s="1" t="s">
        <v>74</v>
      </c>
      <c r="AK66" s="1" t="s">
        <v>74</v>
      </c>
      <c r="AL66" s="1" t="s">
        <v>74</v>
      </c>
      <c r="AM66" s="1" t="s">
        <v>74</v>
      </c>
      <c r="AN66" s="1" t="s">
        <v>74</v>
      </c>
      <c r="AO66" s="1" t="s">
        <v>74</v>
      </c>
      <c r="AP66" s="1" t="s">
        <v>825</v>
      </c>
      <c r="AQ66" s="1" t="s">
        <v>74</v>
      </c>
      <c r="AR66" s="1" t="s">
        <v>74</v>
      </c>
      <c r="AS66" s="1" t="s">
        <v>74</v>
      </c>
      <c r="AT66" s="1" t="s">
        <v>252</v>
      </c>
      <c r="AU66" s="1">
        <v>2024.0</v>
      </c>
      <c r="AV66" s="1">
        <v>12.0</v>
      </c>
      <c r="AW66" s="1" t="s">
        <v>74</v>
      </c>
      <c r="AX66" s="1" t="s">
        <v>74</v>
      </c>
      <c r="AY66" s="1" t="s">
        <v>74</v>
      </c>
      <c r="AZ66" s="1" t="s">
        <v>74</v>
      </c>
      <c r="BA66" s="1" t="s">
        <v>74</v>
      </c>
      <c r="BB66" s="1" t="s">
        <v>74</v>
      </c>
      <c r="BC66" s="1" t="s">
        <v>74</v>
      </c>
      <c r="BD66" s="1">
        <v>1250299.0</v>
      </c>
      <c r="BE66" s="1" t="s">
        <v>826</v>
      </c>
      <c r="BF66" s="2" t="str">
        <f>HYPERLINK("http://dx.doi.org/10.3389/fpubh.2024.1250299","http://dx.doi.org/10.3389/fpubh.2024.1250299")</f>
        <v>http://dx.doi.org/10.3389/fpubh.2024.1250299</v>
      </c>
      <c r="BG66" s="1" t="s">
        <v>74</v>
      </c>
      <c r="BH66" s="1" t="s">
        <v>74</v>
      </c>
      <c r="BI66" s="1" t="s">
        <v>74</v>
      </c>
      <c r="BJ66" s="1" t="s">
        <v>74</v>
      </c>
      <c r="BK66" s="1" t="s">
        <v>74</v>
      </c>
      <c r="BL66" s="1" t="s">
        <v>74</v>
      </c>
      <c r="BM66" s="1" t="s">
        <v>74</v>
      </c>
      <c r="BN66" s="1">
        <v>3.8655514E7</v>
      </c>
      <c r="BO66" s="1" t="s">
        <v>74</v>
      </c>
      <c r="BP66" s="1" t="s">
        <v>74</v>
      </c>
      <c r="BQ66" s="1" t="s">
        <v>74</v>
      </c>
      <c r="BR66" s="1" t="s">
        <v>74</v>
      </c>
      <c r="BS66" s="1" t="s">
        <v>827</v>
      </c>
      <c r="BT66" s="1" t="str">
        <f>HYPERLINK("https%3A%2F%2Fwww.webofscience.com%2Fwos%2Fwoscc%2Ffull-record%2FWOS:001206544800001","View Full Record in Web of Science")</f>
        <v>View Full Record in Web of Science</v>
      </c>
    </row>
    <row r="67" ht="12.75" customHeight="1">
      <c r="A67" s="1" t="s">
        <v>72</v>
      </c>
      <c r="B67" s="1" t="s">
        <v>828</v>
      </c>
      <c r="C67" s="1" t="s">
        <v>74</v>
      </c>
      <c r="D67" s="1" t="s">
        <v>74</v>
      </c>
      <c r="E67" s="1" t="s">
        <v>74</v>
      </c>
      <c r="F67" s="1" t="s">
        <v>829</v>
      </c>
      <c r="G67" s="1" t="s">
        <v>74</v>
      </c>
      <c r="H67" s="1" t="s">
        <v>74</v>
      </c>
      <c r="I67" s="1" t="s">
        <v>830</v>
      </c>
      <c r="J67" s="1" t="s">
        <v>682</v>
      </c>
      <c r="K67" s="1" t="s">
        <v>74</v>
      </c>
      <c r="L67" s="1" t="s">
        <v>74</v>
      </c>
      <c r="M67" s="1" t="s">
        <v>74</v>
      </c>
      <c r="N67" s="1" t="s">
        <v>74</v>
      </c>
      <c r="O67" s="1" t="s">
        <v>74</v>
      </c>
      <c r="P67" s="1" t="s">
        <v>74</v>
      </c>
      <c r="Q67" s="1" t="s">
        <v>74</v>
      </c>
      <c r="R67" s="1" t="s">
        <v>74</v>
      </c>
      <c r="S67" s="1" t="s">
        <v>74</v>
      </c>
      <c r="T67" s="1" t="s">
        <v>74</v>
      </c>
      <c r="U67" s="1" t="s">
        <v>74</v>
      </c>
      <c r="V67" s="1" t="s">
        <v>831</v>
      </c>
      <c r="W67" s="1" t="s">
        <v>74</v>
      </c>
      <c r="X67" s="1" t="s">
        <v>74</v>
      </c>
      <c r="Y67" s="1" t="s">
        <v>74</v>
      </c>
      <c r="Z67" s="1" t="s">
        <v>74</v>
      </c>
      <c r="AA67" s="1" t="s">
        <v>832</v>
      </c>
      <c r="AB67" s="1" t="s">
        <v>833</v>
      </c>
      <c r="AC67" s="1" t="s">
        <v>74</v>
      </c>
      <c r="AD67" s="1" t="s">
        <v>74</v>
      </c>
      <c r="AE67" s="1" t="s">
        <v>74</v>
      </c>
      <c r="AF67" s="1" t="s">
        <v>74</v>
      </c>
      <c r="AG67" s="1" t="s">
        <v>74</v>
      </c>
      <c r="AH67" s="1" t="s">
        <v>74</v>
      </c>
      <c r="AI67" s="1" t="s">
        <v>74</v>
      </c>
      <c r="AJ67" s="1" t="s">
        <v>74</v>
      </c>
      <c r="AK67" s="1" t="s">
        <v>74</v>
      </c>
      <c r="AL67" s="1" t="s">
        <v>74</v>
      </c>
      <c r="AM67" s="1" t="s">
        <v>74</v>
      </c>
      <c r="AN67" s="1" t="s">
        <v>74</v>
      </c>
      <c r="AO67" s="1" t="s">
        <v>686</v>
      </c>
      <c r="AP67" s="1" t="s">
        <v>687</v>
      </c>
      <c r="AQ67" s="1" t="s">
        <v>74</v>
      </c>
      <c r="AR67" s="1" t="s">
        <v>74</v>
      </c>
      <c r="AS67" s="1" t="s">
        <v>74</v>
      </c>
      <c r="AT67" s="1" t="s">
        <v>141</v>
      </c>
      <c r="AU67" s="1">
        <v>2023.0</v>
      </c>
      <c r="AV67" s="1">
        <v>217.0</v>
      </c>
      <c r="AW67" s="1" t="s">
        <v>74</v>
      </c>
      <c r="AX67" s="1" t="s">
        <v>74</v>
      </c>
      <c r="AY67" s="1" t="s">
        <v>74</v>
      </c>
      <c r="AZ67" s="1" t="s">
        <v>74</v>
      </c>
      <c r="BA67" s="1" t="s">
        <v>74</v>
      </c>
      <c r="BB67" s="1" t="s">
        <v>74</v>
      </c>
      <c r="BC67" s="1" t="s">
        <v>74</v>
      </c>
      <c r="BD67" s="1">
        <v>111368.0</v>
      </c>
      <c r="BE67" s="1" t="s">
        <v>834</v>
      </c>
      <c r="BF67" s="2" t="str">
        <f>HYPERLINK("http://dx.doi.org/10.1016/j.dyepig.2023.111368","http://dx.doi.org/10.1016/j.dyepig.2023.111368")</f>
        <v>http://dx.doi.org/10.1016/j.dyepig.2023.111368</v>
      </c>
      <c r="BG67" s="1" t="s">
        <v>74</v>
      </c>
      <c r="BH67" s="1" t="s">
        <v>835</v>
      </c>
      <c r="BI67" s="1" t="s">
        <v>74</v>
      </c>
      <c r="BJ67" s="1" t="s">
        <v>74</v>
      </c>
      <c r="BK67" s="1" t="s">
        <v>74</v>
      </c>
      <c r="BL67" s="1" t="s">
        <v>74</v>
      </c>
      <c r="BM67" s="1" t="s">
        <v>74</v>
      </c>
      <c r="BN67" s="1" t="s">
        <v>74</v>
      </c>
      <c r="BO67" s="1" t="s">
        <v>74</v>
      </c>
      <c r="BP67" s="1" t="s">
        <v>74</v>
      </c>
      <c r="BQ67" s="1" t="s">
        <v>74</v>
      </c>
      <c r="BR67" s="1" t="s">
        <v>74</v>
      </c>
      <c r="BS67" s="1" t="s">
        <v>836</v>
      </c>
      <c r="BT67" s="1" t="str">
        <f>HYPERLINK("https%3A%2F%2Fwww.webofscience.com%2Fwos%2Fwoscc%2Ffull-record%2FWOS:001009414600001","View Full Record in Web of Science")</f>
        <v>View Full Record in Web of Science</v>
      </c>
    </row>
    <row r="68" ht="12.75" customHeight="1">
      <c r="A68" s="1" t="s">
        <v>72</v>
      </c>
      <c r="B68" s="1" t="s">
        <v>837</v>
      </c>
      <c r="C68" s="1" t="s">
        <v>74</v>
      </c>
      <c r="D68" s="1" t="s">
        <v>74</v>
      </c>
      <c r="E68" s="1" t="s">
        <v>74</v>
      </c>
      <c r="F68" s="1" t="s">
        <v>838</v>
      </c>
      <c r="G68" s="1" t="s">
        <v>74</v>
      </c>
      <c r="H68" s="1" t="s">
        <v>74</v>
      </c>
      <c r="I68" s="1" t="s">
        <v>839</v>
      </c>
      <c r="J68" s="1" t="s">
        <v>840</v>
      </c>
      <c r="K68" s="1" t="s">
        <v>74</v>
      </c>
      <c r="L68" s="1" t="s">
        <v>74</v>
      </c>
      <c r="M68" s="1" t="s">
        <v>74</v>
      </c>
      <c r="N68" s="1" t="s">
        <v>74</v>
      </c>
      <c r="O68" s="1" t="s">
        <v>74</v>
      </c>
      <c r="P68" s="1" t="s">
        <v>74</v>
      </c>
      <c r="Q68" s="1" t="s">
        <v>74</v>
      </c>
      <c r="R68" s="1" t="s">
        <v>74</v>
      </c>
      <c r="S68" s="1" t="s">
        <v>74</v>
      </c>
      <c r="T68" s="1" t="s">
        <v>74</v>
      </c>
      <c r="U68" s="1" t="s">
        <v>74</v>
      </c>
      <c r="V68" s="1" t="s">
        <v>841</v>
      </c>
      <c r="W68" s="1" t="s">
        <v>74</v>
      </c>
      <c r="X68" s="1" t="s">
        <v>74</v>
      </c>
      <c r="Y68" s="1" t="s">
        <v>74</v>
      </c>
      <c r="Z68" s="1" t="s">
        <v>74</v>
      </c>
      <c r="AA68" s="1" t="s">
        <v>842</v>
      </c>
      <c r="AB68" s="1" t="s">
        <v>843</v>
      </c>
      <c r="AC68" s="1" t="s">
        <v>74</v>
      </c>
      <c r="AD68" s="1" t="s">
        <v>74</v>
      </c>
      <c r="AE68" s="1" t="s">
        <v>74</v>
      </c>
      <c r="AF68" s="1" t="s">
        <v>74</v>
      </c>
      <c r="AG68" s="1" t="s">
        <v>74</v>
      </c>
      <c r="AH68" s="1" t="s">
        <v>74</v>
      </c>
      <c r="AI68" s="1" t="s">
        <v>74</v>
      </c>
      <c r="AJ68" s="1" t="s">
        <v>74</v>
      </c>
      <c r="AK68" s="1" t="s">
        <v>74</v>
      </c>
      <c r="AL68" s="1" t="s">
        <v>74</v>
      </c>
      <c r="AM68" s="1" t="s">
        <v>74</v>
      </c>
      <c r="AN68" s="1" t="s">
        <v>74</v>
      </c>
      <c r="AO68" s="1" t="s">
        <v>844</v>
      </c>
      <c r="AP68" s="1" t="s">
        <v>74</v>
      </c>
      <c r="AQ68" s="1" t="s">
        <v>74</v>
      </c>
      <c r="AR68" s="1" t="s">
        <v>74</v>
      </c>
      <c r="AS68" s="1" t="s">
        <v>74</v>
      </c>
      <c r="AT68" s="1" t="s">
        <v>845</v>
      </c>
      <c r="AU68" s="1">
        <v>2022.0</v>
      </c>
      <c r="AV68" s="1">
        <v>24.0</v>
      </c>
      <c r="AW68" s="1" t="s">
        <v>74</v>
      </c>
      <c r="AX68" s="1" t="s">
        <v>74</v>
      </c>
      <c r="AY68" s="1" t="s">
        <v>74</v>
      </c>
      <c r="AZ68" s="1" t="s">
        <v>74</v>
      </c>
      <c r="BA68" s="1" t="s">
        <v>74</v>
      </c>
      <c r="BB68" s="1" t="s">
        <v>74</v>
      </c>
      <c r="BC68" s="1" t="s">
        <v>74</v>
      </c>
      <c r="BD68" s="1" t="s">
        <v>846</v>
      </c>
      <c r="BE68" s="1" t="s">
        <v>847</v>
      </c>
      <c r="BF68" s="2" t="str">
        <f>HYPERLINK("http://dx.doi.org/10.1017/erm.2022.29","http://dx.doi.org/10.1017/erm.2022.29")</f>
        <v>http://dx.doi.org/10.1017/erm.2022.29</v>
      </c>
      <c r="BG68" s="1" t="s">
        <v>74</v>
      </c>
      <c r="BH68" s="1" t="s">
        <v>74</v>
      </c>
      <c r="BI68" s="1" t="s">
        <v>74</v>
      </c>
      <c r="BJ68" s="1" t="s">
        <v>74</v>
      </c>
      <c r="BK68" s="1" t="s">
        <v>74</v>
      </c>
      <c r="BL68" s="1" t="s">
        <v>74</v>
      </c>
      <c r="BM68" s="1" t="s">
        <v>74</v>
      </c>
      <c r="BN68" s="1">
        <v>3.6111609E7</v>
      </c>
      <c r="BO68" s="1" t="s">
        <v>74</v>
      </c>
      <c r="BP68" s="1" t="s">
        <v>74</v>
      </c>
      <c r="BQ68" s="1" t="s">
        <v>74</v>
      </c>
      <c r="BR68" s="1" t="s">
        <v>74</v>
      </c>
      <c r="BS68" s="1" t="s">
        <v>848</v>
      </c>
      <c r="BT68" s="1" t="str">
        <f>HYPERLINK("https%3A%2F%2Fwww.webofscience.com%2Fwos%2Fwoscc%2Ffull-record%2FWOS:000866404400001","View Full Record in Web of Science")</f>
        <v>View Full Record in Web of Science</v>
      </c>
    </row>
    <row r="69" ht="12.75" customHeight="1">
      <c r="A69" s="1" t="s">
        <v>72</v>
      </c>
      <c r="B69" s="1" t="s">
        <v>849</v>
      </c>
      <c r="C69" s="1" t="s">
        <v>74</v>
      </c>
      <c r="D69" s="1" t="s">
        <v>74</v>
      </c>
      <c r="E69" s="1" t="s">
        <v>74</v>
      </c>
      <c r="F69" s="1" t="s">
        <v>850</v>
      </c>
      <c r="G69" s="1" t="s">
        <v>74</v>
      </c>
      <c r="H69" s="1" t="s">
        <v>74</v>
      </c>
      <c r="I69" s="1" t="s">
        <v>851</v>
      </c>
      <c r="J69" s="1" t="s">
        <v>480</v>
      </c>
      <c r="K69" s="1" t="s">
        <v>74</v>
      </c>
      <c r="L69" s="1" t="s">
        <v>74</v>
      </c>
      <c r="M69" s="1" t="s">
        <v>74</v>
      </c>
      <c r="N69" s="1" t="s">
        <v>74</v>
      </c>
      <c r="O69" s="1" t="s">
        <v>74</v>
      </c>
      <c r="P69" s="1" t="s">
        <v>74</v>
      </c>
      <c r="Q69" s="1" t="s">
        <v>74</v>
      </c>
      <c r="R69" s="1" t="s">
        <v>74</v>
      </c>
      <c r="S69" s="1" t="s">
        <v>74</v>
      </c>
      <c r="T69" s="1" t="s">
        <v>74</v>
      </c>
      <c r="U69" s="1" t="s">
        <v>74</v>
      </c>
      <c r="V69" s="1" t="s">
        <v>852</v>
      </c>
      <c r="W69" s="1" t="s">
        <v>74</v>
      </c>
      <c r="X69" s="1" t="s">
        <v>74</v>
      </c>
      <c r="Y69" s="1" t="s">
        <v>74</v>
      </c>
      <c r="Z69" s="1" t="s">
        <v>74</v>
      </c>
      <c r="AA69" s="1" t="s">
        <v>853</v>
      </c>
      <c r="AB69" s="1" t="s">
        <v>854</v>
      </c>
      <c r="AC69" s="1" t="s">
        <v>74</v>
      </c>
      <c r="AD69" s="1" t="s">
        <v>74</v>
      </c>
      <c r="AE69" s="1" t="s">
        <v>74</v>
      </c>
      <c r="AF69" s="1" t="s">
        <v>74</v>
      </c>
      <c r="AG69" s="1" t="s">
        <v>74</v>
      </c>
      <c r="AH69" s="1" t="s">
        <v>74</v>
      </c>
      <c r="AI69" s="1" t="s">
        <v>74</v>
      </c>
      <c r="AJ69" s="1" t="s">
        <v>74</v>
      </c>
      <c r="AK69" s="1" t="s">
        <v>74</v>
      </c>
      <c r="AL69" s="1" t="s">
        <v>74</v>
      </c>
      <c r="AM69" s="1" t="s">
        <v>74</v>
      </c>
      <c r="AN69" s="1" t="s">
        <v>74</v>
      </c>
      <c r="AO69" s="1" t="s">
        <v>484</v>
      </c>
      <c r="AP69" s="1" t="s">
        <v>74</v>
      </c>
      <c r="AQ69" s="1" t="s">
        <v>74</v>
      </c>
      <c r="AR69" s="1" t="s">
        <v>74</v>
      </c>
      <c r="AS69" s="1" t="s">
        <v>74</v>
      </c>
      <c r="AT69" s="1" t="s">
        <v>855</v>
      </c>
      <c r="AU69" s="1">
        <v>2022.0</v>
      </c>
      <c r="AV69" s="1">
        <v>12.0</v>
      </c>
      <c r="AW69" s="1">
        <v>1.0</v>
      </c>
      <c r="AX69" s="1" t="s">
        <v>74</v>
      </c>
      <c r="AY69" s="1" t="s">
        <v>74</v>
      </c>
      <c r="AZ69" s="1" t="s">
        <v>74</v>
      </c>
      <c r="BA69" s="1" t="s">
        <v>74</v>
      </c>
      <c r="BB69" s="1" t="s">
        <v>74</v>
      </c>
      <c r="BC69" s="1" t="s">
        <v>74</v>
      </c>
      <c r="BD69" s="1">
        <v>8900.0</v>
      </c>
      <c r="BE69" s="1" t="s">
        <v>856</v>
      </c>
      <c r="BF69" s="2" t="str">
        <f>HYPERLINK("http://dx.doi.org/10.1038/s41598-022-12208-2","http://dx.doi.org/10.1038/s41598-022-12208-2")</f>
        <v>http://dx.doi.org/10.1038/s41598-022-12208-2</v>
      </c>
      <c r="BG69" s="1" t="s">
        <v>74</v>
      </c>
      <c r="BH69" s="1" t="s">
        <v>74</v>
      </c>
      <c r="BI69" s="1" t="s">
        <v>74</v>
      </c>
      <c r="BJ69" s="1" t="s">
        <v>74</v>
      </c>
      <c r="BK69" s="1" t="s">
        <v>74</v>
      </c>
      <c r="BL69" s="1" t="s">
        <v>74</v>
      </c>
      <c r="BM69" s="1" t="s">
        <v>74</v>
      </c>
      <c r="BN69" s="1">
        <v>3.5614075E7</v>
      </c>
      <c r="BO69" s="1" t="s">
        <v>74</v>
      </c>
      <c r="BP69" s="1" t="s">
        <v>74</v>
      </c>
      <c r="BQ69" s="1" t="s">
        <v>74</v>
      </c>
      <c r="BR69" s="1" t="s">
        <v>74</v>
      </c>
      <c r="BS69" s="1" t="s">
        <v>857</v>
      </c>
      <c r="BT69" s="1" t="str">
        <f>HYPERLINK("https%3A%2F%2Fwww.webofscience.com%2Fwos%2Fwoscc%2Ffull-record%2FWOS:000802776400027","View Full Record in Web of Science")</f>
        <v>View Full Record in Web of Science</v>
      </c>
    </row>
    <row r="70" ht="12.75" customHeight="1">
      <c r="A70" s="1" t="s">
        <v>72</v>
      </c>
      <c r="B70" s="1" t="s">
        <v>858</v>
      </c>
      <c r="C70" s="1" t="s">
        <v>74</v>
      </c>
      <c r="D70" s="1" t="s">
        <v>74</v>
      </c>
      <c r="E70" s="1" t="s">
        <v>74</v>
      </c>
      <c r="F70" s="1" t="s">
        <v>859</v>
      </c>
      <c r="G70" s="1" t="s">
        <v>74</v>
      </c>
      <c r="H70" s="1" t="s">
        <v>74</v>
      </c>
      <c r="I70" s="1" t="s">
        <v>860</v>
      </c>
      <c r="J70" s="1" t="s">
        <v>861</v>
      </c>
      <c r="K70" s="1" t="s">
        <v>74</v>
      </c>
      <c r="L70" s="1" t="s">
        <v>74</v>
      </c>
      <c r="M70" s="1" t="s">
        <v>74</v>
      </c>
      <c r="N70" s="1" t="s">
        <v>74</v>
      </c>
      <c r="O70" s="1" t="s">
        <v>74</v>
      </c>
      <c r="P70" s="1" t="s">
        <v>74</v>
      </c>
      <c r="Q70" s="1" t="s">
        <v>74</v>
      </c>
      <c r="R70" s="1" t="s">
        <v>74</v>
      </c>
      <c r="S70" s="1" t="s">
        <v>74</v>
      </c>
      <c r="T70" s="1" t="s">
        <v>74</v>
      </c>
      <c r="U70" s="1" t="s">
        <v>74</v>
      </c>
      <c r="V70" s="1" t="s">
        <v>862</v>
      </c>
      <c r="W70" s="1" t="s">
        <v>74</v>
      </c>
      <c r="X70" s="1" t="s">
        <v>74</v>
      </c>
      <c r="Y70" s="1" t="s">
        <v>74</v>
      </c>
      <c r="Z70" s="1" t="s">
        <v>74</v>
      </c>
      <c r="AA70" s="1" t="s">
        <v>863</v>
      </c>
      <c r="AB70" s="1" t="s">
        <v>864</v>
      </c>
      <c r="AC70" s="1" t="s">
        <v>74</v>
      </c>
      <c r="AD70" s="1" t="s">
        <v>74</v>
      </c>
      <c r="AE70" s="1" t="s">
        <v>74</v>
      </c>
      <c r="AF70" s="1" t="s">
        <v>74</v>
      </c>
      <c r="AG70" s="1" t="s">
        <v>74</v>
      </c>
      <c r="AH70" s="1" t="s">
        <v>74</v>
      </c>
      <c r="AI70" s="1" t="s">
        <v>74</v>
      </c>
      <c r="AJ70" s="1" t="s">
        <v>74</v>
      </c>
      <c r="AK70" s="1" t="s">
        <v>74</v>
      </c>
      <c r="AL70" s="1" t="s">
        <v>74</v>
      </c>
      <c r="AM70" s="1" t="s">
        <v>74</v>
      </c>
      <c r="AN70" s="1" t="s">
        <v>74</v>
      </c>
      <c r="AO70" s="1" t="s">
        <v>74</v>
      </c>
      <c r="AP70" s="1" t="s">
        <v>865</v>
      </c>
      <c r="AQ70" s="1" t="s">
        <v>74</v>
      </c>
      <c r="AR70" s="1" t="s">
        <v>74</v>
      </c>
      <c r="AS70" s="1" t="s">
        <v>74</v>
      </c>
      <c r="AT70" s="1" t="s">
        <v>346</v>
      </c>
      <c r="AU70" s="1">
        <v>2022.0</v>
      </c>
      <c r="AV70" s="1">
        <v>15.0</v>
      </c>
      <c r="AW70" s="1">
        <v>3.0</v>
      </c>
      <c r="AX70" s="1" t="s">
        <v>74</v>
      </c>
      <c r="AY70" s="1" t="s">
        <v>74</v>
      </c>
      <c r="AZ70" s="1" t="s">
        <v>74</v>
      </c>
      <c r="BA70" s="1" t="s">
        <v>74</v>
      </c>
      <c r="BB70" s="1" t="s">
        <v>74</v>
      </c>
      <c r="BC70" s="1" t="s">
        <v>74</v>
      </c>
      <c r="BD70" s="1">
        <v>332.0</v>
      </c>
      <c r="BE70" s="1" t="s">
        <v>866</v>
      </c>
      <c r="BF70" s="2" t="str">
        <f>HYPERLINK("http://dx.doi.org/10.3390/ph15030332","http://dx.doi.org/10.3390/ph15030332")</f>
        <v>http://dx.doi.org/10.3390/ph15030332</v>
      </c>
      <c r="BG70" s="1" t="s">
        <v>74</v>
      </c>
      <c r="BH70" s="1" t="s">
        <v>74</v>
      </c>
      <c r="BI70" s="1" t="s">
        <v>74</v>
      </c>
      <c r="BJ70" s="1" t="s">
        <v>74</v>
      </c>
      <c r="BK70" s="1" t="s">
        <v>74</v>
      </c>
      <c r="BL70" s="1" t="s">
        <v>74</v>
      </c>
      <c r="BM70" s="1" t="s">
        <v>74</v>
      </c>
      <c r="BN70" s="1">
        <v>3.5337129E7</v>
      </c>
      <c r="BO70" s="1" t="s">
        <v>74</v>
      </c>
      <c r="BP70" s="1" t="s">
        <v>74</v>
      </c>
      <c r="BQ70" s="1" t="s">
        <v>74</v>
      </c>
      <c r="BR70" s="1" t="s">
        <v>74</v>
      </c>
      <c r="BS70" s="1" t="s">
        <v>867</v>
      </c>
      <c r="BT70" s="1" t="str">
        <f>HYPERLINK("https%3A%2F%2Fwww.webofscience.com%2Fwos%2Fwoscc%2Ffull-record%2FWOS:000774621900001","View Full Record in Web of Science")</f>
        <v>View Full Record in Web of Science</v>
      </c>
    </row>
    <row r="71" ht="12.75" customHeight="1">
      <c r="A71" s="1" t="s">
        <v>72</v>
      </c>
      <c r="B71" s="1" t="s">
        <v>868</v>
      </c>
      <c r="C71" s="1" t="s">
        <v>74</v>
      </c>
      <c r="D71" s="1" t="s">
        <v>74</v>
      </c>
      <c r="E71" s="1" t="s">
        <v>74</v>
      </c>
      <c r="F71" s="1" t="s">
        <v>869</v>
      </c>
      <c r="G71" s="1" t="s">
        <v>74</v>
      </c>
      <c r="H71" s="1" t="s">
        <v>74</v>
      </c>
      <c r="I71" s="1" t="s">
        <v>870</v>
      </c>
      <c r="J71" s="1" t="s">
        <v>871</v>
      </c>
      <c r="K71" s="1" t="s">
        <v>74</v>
      </c>
      <c r="L71" s="1" t="s">
        <v>74</v>
      </c>
      <c r="M71" s="1" t="s">
        <v>74</v>
      </c>
      <c r="N71" s="1" t="s">
        <v>74</v>
      </c>
      <c r="O71" s="1" t="s">
        <v>74</v>
      </c>
      <c r="P71" s="1" t="s">
        <v>74</v>
      </c>
      <c r="Q71" s="1" t="s">
        <v>74</v>
      </c>
      <c r="R71" s="1" t="s">
        <v>74</v>
      </c>
      <c r="S71" s="1" t="s">
        <v>74</v>
      </c>
      <c r="T71" s="1" t="s">
        <v>74</v>
      </c>
      <c r="U71" s="1" t="s">
        <v>74</v>
      </c>
      <c r="V71" s="1" t="s">
        <v>872</v>
      </c>
      <c r="W71" s="1" t="s">
        <v>74</v>
      </c>
      <c r="X71" s="1" t="s">
        <v>74</v>
      </c>
      <c r="Y71" s="1" t="s">
        <v>74</v>
      </c>
      <c r="Z71" s="1" t="s">
        <v>74</v>
      </c>
      <c r="AA71" s="1" t="s">
        <v>873</v>
      </c>
      <c r="AB71" s="1" t="s">
        <v>874</v>
      </c>
      <c r="AC71" s="1" t="s">
        <v>74</v>
      </c>
      <c r="AD71" s="1" t="s">
        <v>74</v>
      </c>
      <c r="AE71" s="1" t="s">
        <v>74</v>
      </c>
      <c r="AF71" s="1" t="s">
        <v>74</v>
      </c>
      <c r="AG71" s="1" t="s">
        <v>74</v>
      </c>
      <c r="AH71" s="1" t="s">
        <v>74</v>
      </c>
      <c r="AI71" s="1" t="s">
        <v>74</v>
      </c>
      <c r="AJ71" s="1" t="s">
        <v>74</v>
      </c>
      <c r="AK71" s="1" t="s">
        <v>74</v>
      </c>
      <c r="AL71" s="1" t="s">
        <v>74</v>
      </c>
      <c r="AM71" s="1" t="s">
        <v>74</v>
      </c>
      <c r="AN71" s="1" t="s">
        <v>74</v>
      </c>
      <c r="AO71" s="1" t="s">
        <v>74</v>
      </c>
      <c r="AP71" s="1" t="s">
        <v>875</v>
      </c>
      <c r="AQ71" s="1" t="s">
        <v>74</v>
      </c>
      <c r="AR71" s="1" t="s">
        <v>74</v>
      </c>
      <c r="AS71" s="1" t="s">
        <v>74</v>
      </c>
      <c r="AT71" s="1" t="s">
        <v>106</v>
      </c>
      <c r="AU71" s="1">
        <v>2021.0</v>
      </c>
      <c r="AV71" s="1">
        <v>14.0</v>
      </c>
      <c r="AW71" s="1">
        <v>21.0</v>
      </c>
      <c r="AX71" s="1" t="s">
        <v>74</v>
      </c>
      <c r="AY71" s="1" t="s">
        <v>74</v>
      </c>
      <c r="AZ71" s="1" t="s">
        <v>74</v>
      </c>
      <c r="BA71" s="1" t="s">
        <v>74</v>
      </c>
      <c r="BB71" s="1" t="s">
        <v>74</v>
      </c>
      <c r="BC71" s="1" t="s">
        <v>74</v>
      </c>
      <c r="BD71" s="1">
        <v>6239.0</v>
      </c>
      <c r="BE71" s="1" t="s">
        <v>876</v>
      </c>
      <c r="BF71" s="2" t="str">
        <f>HYPERLINK("http://dx.doi.org/10.3390/ma14216239","http://dx.doi.org/10.3390/ma14216239")</f>
        <v>http://dx.doi.org/10.3390/ma14216239</v>
      </c>
      <c r="BG71" s="1" t="s">
        <v>74</v>
      </c>
      <c r="BH71" s="1" t="s">
        <v>74</v>
      </c>
      <c r="BI71" s="1" t="s">
        <v>74</v>
      </c>
      <c r="BJ71" s="1" t="s">
        <v>74</v>
      </c>
      <c r="BK71" s="1" t="s">
        <v>74</v>
      </c>
      <c r="BL71" s="1" t="s">
        <v>74</v>
      </c>
      <c r="BM71" s="1" t="s">
        <v>74</v>
      </c>
      <c r="BN71" s="1">
        <v>3.4771765E7</v>
      </c>
      <c r="BO71" s="1" t="s">
        <v>74</v>
      </c>
      <c r="BP71" s="1" t="s">
        <v>74</v>
      </c>
      <c r="BQ71" s="1" t="s">
        <v>74</v>
      </c>
      <c r="BR71" s="1" t="s">
        <v>74</v>
      </c>
      <c r="BS71" s="1" t="s">
        <v>877</v>
      </c>
      <c r="BT71" s="1" t="str">
        <f>HYPERLINK("https%3A%2F%2Fwww.webofscience.com%2Fwos%2Fwoscc%2Ffull-record%2FWOS:000718999600001","View Full Record in Web of Science")</f>
        <v>View Full Record in Web of Science</v>
      </c>
    </row>
    <row r="72" ht="12.75" customHeight="1">
      <c r="A72" s="1" t="s">
        <v>72</v>
      </c>
      <c r="B72" s="1" t="s">
        <v>878</v>
      </c>
      <c r="C72" s="1" t="s">
        <v>74</v>
      </c>
      <c r="D72" s="1" t="s">
        <v>74</v>
      </c>
      <c r="E72" s="1" t="s">
        <v>74</v>
      </c>
      <c r="F72" s="1" t="s">
        <v>879</v>
      </c>
      <c r="G72" s="1" t="s">
        <v>74</v>
      </c>
      <c r="H72" s="1" t="s">
        <v>74</v>
      </c>
      <c r="I72" s="1" t="s">
        <v>880</v>
      </c>
      <c r="J72" s="1" t="s">
        <v>881</v>
      </c>
      <c r="K72" s="1" t="s">
        <v>74</v>
      </c>
      <c r="L72" s="1" t="s">
        <v>74</v>
      </c>
      <c r="M72" s="1" t="s">
        <v>74</v>
      </c>
      <c r="N72" s="1" t="s">
        <v>74</v>
      </c>
      <c r="O72" s="1" t="s">
        <v>74</v>
      </c>
      <c r="P72" s="1" t="s">
        <v>74</v>
      </c>
      <c r="Q72" s="1" t="s">
        <v>74</v>
      </c>
      <c r="R72" s="1" t="s">
        <v>74</v>
      </c>
      <c r="S72" s="1" t="s">
        <v>74</v>
      </c>
      <c r="T72" s="1" t="s">
        <v>74</v>
      </c>
      <c r="U72" s="1" t="s">
        <v>74</v>
      </c>
      <c r="V72" s="1" t="s">
        <v>882</v>
      </c>
      <c r="W72" s="1" t="s">
        <v>74</v>
      </c>
      <c r="X72" s="1" t="s">
        <v>74</v>
      </c>
      <c r="Y72" s="1" t="s">
        <v>74</v>
      </c>
      <c r="Z72" s="1" t="s">
        <v>74</v>
      </c>
      <c r="AA72" s="1" t="s">
        <v>883</v>
      </c>
      <c r="AB72" s="1" t="s">
        <v>884</v>
      </c>
      <c r="AC72" s="1" t="s">
        <v>74</v>
      </c>
      <c r="AD72" s="1" t="s">
        <v>74</v>
      </c>
      <c r="AE72" s="1" t="s">
        <v>74</v>
      </c>
      <c r="AF72" s="1" t="s">
        <v>74</v>
      </c>
      <c r="AG72" s="1" t="s">
        <v>74</v>
      </c>
      <c r="AH72" s="1" t="s">
        <v>74</v>
      </c>
      <c r="AI72" s="1" t="s">
        <v>74</v>
      </c>
      <c r="AJ72" s="1" t="s">
        <v>74</v>
      </c>
      <c r="AK72" s="1" t="s">
        <v>74</v>
      </c>
      <c r="AL72" s="1" t="s">
        <v>74</v>
      </c>
      <c r="AM72" s="1" t="s">
        <v>74</v>
      </c>
      <c r="AN72" s="1" t="s">
        <v>74</v>
      </c>
      <c r="AO72" s="1" t="s">
        <v>885</v>
      </c>
      <c r="AP72" s="1" t="s">
        <v>74</v>
      </c>
      <c r="AQ72" s="1" t="s">
        <v>74</v>
      </c>
      <c r="AR72" s="1" t="s">
        <v>74</v>
      </c>
      <c r="AS72" s="1" t="s">
        <v>74</v>
      </c>
      <c r="AT72" s="1" t="s">
        <v>94</v>
      </c>
      <c r="AU72" s="1">
        <v>2021.0</v>
      </c>
      <c r="AV72" s="1">
        <v>60.0</v>
      </c>
      <c r="AW72" s="1" t="s">
        <v>74</v>
      </c>
      <c r="AX72" s="1" t="s">
        <v>74</v>
      </c>
      <c r="AY72" s="1" t="s">
        <v>74</v>
      </c>
      <c r="AZ72" s="1" t="s">
        <v>74</v>
      </c>
      <c r="BA72" s="1" t="s">
        <v>74</v>
      </c>
      <c r="BB72" s="1" t="s">
        <v>74</v>
      </c>
      <c r="BC72" s="1" t="s">
        <v>74</v>
      </c>
      <c r="BD72" s="1">
        <v>102503.0</v>
      </c>
      <c r="BE72" s="1" t="s">
        <v>886</v>
      </c>
      <c r="BF72" s="2" t="str">
        <f>HYPERLINK("http://dx.doi.org/10.1016/j.algal.2021.102503","http://dx.doi.org/10.1016/j.algal.2021.102503")</f>
        <v>http://dx.doi.org/10.1016/j.algal.2021.102503</v>
      </c>
      <c r="BG72" s="1" t="s">
        <v>74</v>
      </c>
      <c r="BH72" s="1" t="s">
        <v>887</v>
      </c>
      <c r="BI72" s="1" t="s">
        <v>74</v>
      </c>
      <c r="BJ72" s="1" t="s">
        <v>74</v>
      </c>
      <c r="BK72" s="1" t="s">
        <v>74</v>
      </c>
      <c r="BL72" s="1" t="s">
        <v>74</v>
      </c>
      <c r="BM72" s="1" t="s">
        <v>74</v>
      </c>
      <c r="BN72" s="1" t="s">
        <v>74</v>
      </c>
      <c r="BO72" s="1" t="s">
        <v>74</v>
      </c>
      <c r="BP72" s="1" t="s">
        <v>74</v>
      </c>
      <c r="BQ72" s="1" t="s">
        <v>74</v>
      </c>
      <c r="BR72" s="1" t="s">
        <v>74</v>
      </c>
      <c r="BS72" s="1" t="s">
        <v>888</v>
      </c>
      <c r="BT72" s="1" t="str">
        <f>HYPERLINK("https%3A%2F%2Fwww.webofscience.com%2Fwos%2Fwoscc%2Ffull-record%2FWOS:000704699800001","View Full Record in Web of Science")</f>
        <v>View Full Record in Web of Science</v>
      </c>
    </row>
    <row r="73" ht="12.75" customHeight="1">
      <c r="A73" s="1" t="s">
        <v>72</v>
      </c>
      <c r="B73" s="1" t="s">
        <v>889</v>
      </c>
      <c r="C73" s="1" t="s">
        <v>74</v>
      </c>
      <c r="D73" s="1" t="s">
        <v>74</v>
      </c>
      <c r="E73" s="1" t="s">
        <v>74</v>
      </c>
      <c r="F73" s="1" t="s">
        <v>890</v>
      </c>
      <c r="G73" s="1" t="s">
        <v>74</v>
      </c>
      <c r="H73" s="1" t="s">
        <v>74</v>
      </c>
      <c r="I73" s="1" t="s">
        <v>891</v>
      </c>
      <c r="J73" s="1" t="s">
        <v>892</v>
      </c>
      <c r="K73" s="1" t="s">
        <v>74</v>
      </c>
      <c r="L73" s="1" t="s">
        <v>74</v>
      </c>
      <c r="M73" s="1" t="s">
        <v>74</v>
      </c>
      <c r="N73" s="1" t="s">
        <v>74</v>
      </c>
      <c r="O73" s="1" t="s">
        <v>74</v>
      </c>
      <c r="P73" s="1" t="s">
        <v>74</v>
      </c>
      <c r="Q73" s="1" t="s">
        <v>74</v>
      </c>
      <c r="R73" s="1" t="s">
        <v>74</v>
      </c>
      <c r="S73" s="1" t="s">
        <v>74</v>
      </c>
      <c r="T73" s="1" t="s">
        <v>74</v>
      </c>
      <c r="U73" s="1" t="s">
        <v>74</v>
      </c>
      <c r="V73" s="1" t="s">
        <v>893</v>
      </c>
      <c r="W73" s="1" t="s">
        <v>74</v>
      </c>
      <c r="X73" s="1" t="s">
        <v>74</v>
      </c>
      <c r="Y73" s="1" t="s">
        <v>74</v>
      </c>
      <c r="Z73" s="1" t="s">
        <v>74</v>
      </c>
      <c r="AA73" s="1" t="s">
        <v>894</v>
      </c>
      <c r="AB73" s="1" t="s">
        <v>895</v>
      </c>
      <c r="AC73" s="1" t="s">
        <v>74</v>
      </c>
      <c r="AD73" s="1" t="s">
        <v>74</v>
      </c>
      <c r="AE73" s="1" t="s">
        <v>74</v>
      </c>
      <c r="AF73" s="1" t="s">
        <v>74</v>
      </c>
      <c r="AG73" s="1" t="s">
        <v>74</v>
      </c>
      <c r="AH73" s="1" t="s">
        <v>74</v>
      </c>
      <c r="AI73" s="1" t="s">
        <v>74</v>
      </c>
      <c r="AJ73" s="1" t="s">
        <v>74</v>
      </c>
      <c r="AK73" s="1" t="s">
        <v>74</v>
      </c>
      <c r="AL73" s="1" t="s">
        <v>74</v>
      </c>
      <c r="AM73" s="1" t="s">
        <v>74</v>
      </c>
      <c r="AN73" s="1" t="s">
        <v>74</v>
      </c>
      <c r="AO73" s="1" t="s">
        <v>896</v>
      </c>
      <c r="AP73" s="1" t="s">
        <v>897</v>
      </c>
      <c r="AQ73" s="1" t="s">
        <v>74</v>
      </c>
      <c r="AR73" s="1" t="s">
        <v>74</v>
      </c>
      <c r="AS73" s="1" t="s">
        <v>74</v>
      </c>
      <c r="AT73" s="1" t="s">
        <v>898</v>
      </c>
      <c r="AU73" s="1">
        <v>2016.0</v>
      </c>
      <c r="AV73" s="1">
        <v>672.0</v>
      </c>
      <c r="AW73" s="1" t="s">
        <v>74</v>
      </c>
      <c r="AX73" s="1" t="s">
        <v>74</v>
      </c>
      <c r="AY73" s="1" t="s">
        <v>74</v>
      </c>
      <c r="AZ73" s="1" t="s">
        <v>74</v>
      </c>
      <c r="BA73" s="1" t="s">
        <v>74</v>
      </c>
      <c r="BB73" s="1">
        <v>108.0</v>
      </c>
      <c r="BC73" s="1">
        <v>120.0</v>
      </c>
      <c r="BD73" s="1" t="s">
        <v>74</v>
      </c>
      <c r="BE73" s="1" t="s">
        <v>899</v>
      </c>
      <c r="BF73" s="2" t="str">
        <f>HYPERLINK("http://dx.doi.org/10.1016/j.msea.2016.06.056","http://dx.doi.org/10.1016/j.msea.2016.06.056")</f>
        <v>http://dx.doi.org/10.1016/j.msea.2016.06.056</v>
      </c>
      <c r="BG73" s="1" t="s">
        <v>74</v>
      </c>
      <c r="BH73" s="1" t="s">
        <v>74</v>
      </c>
      <c r="BI73" s="1" t="s">
        <v>74</v>
      </c>
      <c r="BJ73" s="1" t="s">
        <v>74</v>
      </c>
      <c r="BK73" s="1" t="s">
        <v>74</v>
      </c>
      <c r="BL73" s="1" t="s">
        <v>74</v>
      </c>
      <c r="BM73" s="1" t="s">
        <v>74</v>
      </c>
      <c r="BN73" s="1" t="s">
        <v>74</v>
      </c>
      <c r="BO73" s="1" t="s">
        <v>74</v>
      </c>
      <c r="BP73" s="1" t="s">
        <v>74</v>
      </c>
      <c r="BQ73" s="1" t="s">
        <v>74</v>
      </c>
      <c r="BR73" s="1" t="s">
        <v>74</v>
      </c>
      <c r="BS73" s="1" t="s">
        <v>900</v>
      </c>
      <c r="BT73" s="1" t="str">
        <f>HYPERLINK("https%3A%2F%2Fwww.webofscience.com%2Fwos%2Fwoscc%2Ffull-record%2FWOS:000381952300013","View Full Record in Web of Science")</f>
        <v>View Full Record in Web of Science</v>
      </c>
    </row>
    <row r="74" ht="12.75" customHeight="1">
      <c r="A74" s="1" t="s">
        <v>72</v>
      </c>
      <c r="B74" s="1" t="s">
        <v>901</v>
      </c>
      <c r="C74" s="1" t="s">
        <v>74</v>
      </c>
      <c r="D74" s="1" t="s">
        <v>74</v>
      </c>
      <c r="E74" s="1" t="s">
        <v>74</v>
      </c>
      <c r="F74" s="1" t="s">
        <v>902</v>
      </c>
      <c r="G74" s="1" t="s">
        <v>74</v>
      </c>
      <c r="H74" s="1" t="s">
        <v>74</v>
      </c>
      <c r="I74" s="1" t="s">
        <v>903</v>
      </c>
      <c r="J74" s="1" t="s">
        <v>904</v>
      </c>
      <c r="K74" s="1" t="s">
        <v>74</v>
      </c>
      <c r="L74" s="1" t="s">
        <v>74</v>
      </c>
      <c r="M74" s="1" t="s">
        <v>74</v>
      </c>
      <c r="N74" s="1" t="s">
        <v>74</v>
      </c>
      <c r="O74" s="1" t="s">
        <v>74</v>
      </c>
      <c r="P74" s="1" t="s">
        <v>74</v>
      </c>
      <c r="Q74" s="1" t="s">
        <v>74</v>
      </c>
      <c r="R74" s="1" t="s">
        <v>74</v>
      </c>
      <c r="S74" s="1" t="s">
        <v>74</v>
      </c>
      <c r="T74" s="1" t="s">
        <v>74</v>
      </c>
      <c r="U74" s="1" t="s">
        <v>74</v>
      </c>
      <c r="V74" s="1" t="s">
        <v>905</v>
      </c>
      <c r="W74" s="1" t="s">
        <v>74</v>
      </c>
      <c r="X74" s="1" t="s">
        <v>74</v>
      </c>
      <c r="Y74" s="1" t="s">
        <v>74</v>
      </c>
      <c r="Z74" s="1" t="s">
        <v>74</v>
      </c>
      <c r="AA74" s="1" t="s">
        <v>74</v>
      </c>
      <c r="AB74" s="1" t="s">
        <v>74</v>
      </c>
      <c r="AC74" s="1" t="s">
        <v>74</v>
      </c>
      <c r="AD74" s="1" t="s">
        <v>74</v>
      </c>
      <c r="AE74" s="1" t="s">
        <v>74</v>
      </c>
      <c r="AF74" s="1" t="s">
        <v>74</v>
      </c>
      <c r="AG74" s="1" t="s">
        <v>74</v>
      </c>
      <c r="AH74" s="1" t="s">
        <v>74</v>
      </c>
      <c r="AI74" s="1" t="s">
        <v>74</v>
      </c>
      <c r="AJ74" s="1" t="s">
        <v>74</v>
      </c>
      <c r="AK74" s="1" t="s">
        <v>74</v>
      </c>
      <c r="AL74" s="1" t="s">
        <v>74</v>
      </c>
      <c r="AM74" s="1" t="s">
        <v>74</v>
      </c>
      <c r="AN74" s="1" t="s">
        <v>74</v>
      </c>
      <c r="AO74" s="1" t="s">
        <v>906</v>
      </c>
      <c r="AP74" s="1" t="s">
        <v>74</v>
      </c>
      <c r="AQ74" s="1" t="s">
        <v>74</v>
      </c>
      <c r="AR74" s="1" t="s">
        <v>74</v>
      </c>
      <c r="AS74" s="1" t="s">
        <v>74</v>
      </c>
      <c r="AT74" s="1" t="s">
        <v>745</v>
      </c>
      <c r="AU74" s="1">
        <v>2015.0</v>
      </c>
      <c r="AV74" s="1">
        <v>14.0</v>
      </c>
      <c r="AW74" s="1">
        <v>4.0</v>
      </c>
      <c r="AX74" s="1" t="s">
        <v>74</v>
      </c>
      <c r="AY74" s="1" t="s">
        <v>74</v>
      </c>
      <c r="AZ74" s="1" t="s">
        <v>74</v>
      </c>
      <c r="BA74" s="1" t="s">
        <v>74</v>
      </c>
      <c r="BB74" s="1">
        <v>301.0</v>
      </c>
      <c r="BC74" s="1">
        <v>306.0</v>
      </c>
      <c r="BD74" s="1" t="s">
        <v>74</v>
      </c>
      <c r="BE74" s="1" t="s">
        <v>74</v>
      </c>
      <c r="BF74" s="1" t="s">
        <v>74</v>
      </c>
      <c r="BG74" s="1" t="s">
        <v>74</v>
      </c>
      <c r="BH74" s="1" t="s">
        <v>74</v>
      </c>
      <c r="BI74" s="1" t="s">
        <v>74</v>
      </c>
      <c r="BJ74" s="1" t="s">
        <v>74</v>
      </c>
      <c r="BK74" s="1" t="s">
        <v>74</v>
      </c>
      <c r="BL74" s="1" t="s">
        <v>74</v>
      </c>
      <c r="BM74" s="1" t="s">
        <v>74</v>
      </c>
      <c r="BN74" s="1" t="s">
        <v>74</v>
      </c>
      <c r="BO74" s="1" t="s">
        <v>74</v>
      </c>
      <c r="BP74" s="1" t="s">
        <v>74</v>
      </c>
      <c r="BQ74" s="1" t="s">
        <v>74</v>
      </c>
      <c r="BR74" s="1" t="s">
        <v>74</v>
      </c>
      <c r="BS74" s="1" t="s">
        <v>907</v>
      </c>
      <c r="BT74" s="1" t="str">
        <f>HYPERLINK("https%3A%2F%2Fwww.webofscience.com%2Fwos%2Fwoscc%2Ffull-record%2FWOS:000358504500005","View Full Record in Web of Science")</f>
        <v>View Full Record in Web of Science</v>
      </c>
    </row>
    <row r="75" ht="12.75" customHeight="1">
      <c r="A75" s="1" t="s">
        <v>72</v>
      </c>
      <c r="B75" s="1" t="s">
        <v>908</v>
      </c>
      <c r="C75" s="1" t="s">
        <v>74</v>
      </c>
      <c r="D75" s="1" t="s">
        <v>74</v>
      </c>
      <c r="E75" s="1" t="s">
        <v>74</v>
      </c>
      <c r="F75" s="1" t="s">
        <v>909</v>
      </c>
      <c r="G75" s="1" t="s">
        <v>74</v>
      </c>
      <c r="H75" s="1" t="s">
        <v>74</v>
      </c>
      <c r="I75" s="1" t="s">
        <v>910</v>
      </c>
      <c r="J75" s="1" t="s">
        <v>911</v>
      </c>
      <c r="K75" s="1" t="s">
        <v>74</v>
      </c>
      <c r="L75" s="1" t="s">
        <v>74</v>
      </c>
      <c r="M75" s="1" t="s">
        <v>74</v>
      </c>
      <c r="N75" s="1" t="s">
        <v>74</v>
      </c>
      <c r="O75" s="1" t="s">
        <v>74</v>
      </c>
      <c r="P75" s="1" t="s">
        <v>74</v>
      </c>
      <c r="Q75" s="1" t="s">
        <v>74</v>
      </c>
      <c r="R75" s="1" t="s">
        <v>74</v>
      </c>
      <c r="S75" s="1" t="s">
        <v>74</v>
      </c>
      <c r="T75" s="1" t="s">
        <v>74</v>
      </c>
      <c r="U75" s="1" t="s">
        <v>74</v>
      </c>
      <c r="V75" s="1" t="s">
        <v>912</v>
      </c>
      <c r="W75" s="1" t="s">
        <v>74</v>
      </c>
      <c r="X75" s="1" t="s">
        <v>74</v>
      </c>
      <c r="Y75" s="1" t="s">
        <v>74</v>
      </c>
      <c r="Z75" s="1" t="s">
        <v>74</v>
      </c>
      <c r="AA75" s="1" t="s">
        <v>913</v>
      </c>
      <c r="AB75" s="1" t="s">
        <v>914</v>
      </c>
      <c r="AC75" s="1" t="s">
        <v>74</v>
      </c>
      <c r="AD75" s="1" t="s">
        <v>74</v>
      </c>
      <c r="AE75" s="1" t="s">
        <v>74</v>
      </c>
      <c r="AF75" s="1" t="s">
        <v>74</v>
      </c>
      <c r="AG75" s="1" t="s">
        <v>74</v>
      </c>
      <c r="AH75" s="1" t="s">
        <v>74</v>
      </c>
      <c r="AI75" s="1" t="s">
        <v>74</v>
      </c>
      <c r="AJ75" s="1" t="s">
        <v>74</v>
      </c>
      <c r="AK75" s="1" t="s">
        <v>74</v>
      </c>
      <c r="AL75" s="1" t="s">
        <v>74</v>
      </c>
      <c r="AM75" s="1" t="s">
        <v>74</v>
      </c>
      <c r="AN75" s="1" t="s">
        <v>74</v>
      </c>
      <c r="AO75" s="1" t="s">
        <v>915</v>
      </c>
      <c r="AP75" s="1" t="s">
        <v>916</v>
      </c>
      <c r="AQ75" s="1" t="s">
        <v>74</v>
      </c>
      <c r="AR75" s="1" t="s">
        <v>74</v>
      </c>
      <c r="AS75" s="1" t="s">
        <v>74</v>
      </c>
      <c r="AT75" s="1" t="s">
        <v>334</v>
      </c>
      <c r="AU75" s="1">
        <v>2012.0</v>
      </c>
      <c r="AV75" s="1">
        <v>33.0</v>
      </c>
      <c r="AW75" s="1">
        <v>29.0</v>
      </c>
      <c r="AX75" s="1" t="s">
        <v>74</v>
      </c>
      <c r="AY75" s="1" t="s">
        <v>74</v>
      </c>
      <c r="AZ75" s="1" t="s">
        <v>74</v>
      </c>
      <c r="BA75" s="1" t="s">
        <v>74</v>
      </c>
      <c r="BB75" s="1">
        <v>7194.0</v>
      </c>
      <c r="BC75" s="1">
        <v>7205.0</v>
      </c>
      <c r="BD75" s="1" t="s">
        <v>74</v>
      </c>
      <c r="BE75" s="1" t="s">
        <v>917</v>
      </c>
      <c r="BF75" s="2" t="str">
        <f>HYPERLINK("http://dx.doi.org/10.1016/j.biomaterials.2012.06.063","http://dx.doi.org/10.1016/j.biomaterials.2012.06.063")</f>
        <v>http://dx.doi.org/10.1016/j.biomaterials.2012.06.063</v>
      </c>
      <c r="BG75" s="1" t="s">
        <v>74</v>
      </c>
      <c r="BH75" s="1" t="s">
        <v>74</v>
      </c>
      <c r="BI75" s="1" t="s">
        <v>74</v>
      </c>
      <c r="BJ75" s="1" t="s">
        <v>74</v>
      </c>
      <c r="BK75" s="1" t="s">
        <v>74</v>
      </c>
      <c r="BL75" s="1" t="s">
        <v>74</v>
      </c>
      <c r="BM75" s="1" t="s">
        <v>74</v>
      </c>
      <c r="BN75" s="1">
        <v>2.2795856E7</v>
      </c>
      <c r="BO75" s="1" t="s">
        <v>74</v>
      </c>
      <c r="BP75" s="1" t="s">
        <v>74</v>
      </c>
      <c r="BQ75" s="1" t="s">
        <v>74</v>
      </c>
      <c r="BR75" s="1" t="s">
        <v>74</v>
      </c>
      <c r="BS75" s="1" t="s">
        <v>918</v>
      </c>
      <c r="BT75" s="1" t="str">
        <f>HYPERLINK("https%3A%2F%2Fwww.webofscience.com%2Fwos%2Fwoscc%2Ffull-record%2FWOS:000308269600029","View Full Record in Web of Science")</f>
        <v>View Full Record in Web of Science</v>
      </c>
    </row>
    <row r="76" ht="12.75" customHeight="1">
      <c r="A76" s="1" t="s">
        <v>72</v>
      </c>
      <c r="B76" s="1" t="s">
        <v>919</v>
      </c>
      <c r="C76" s="1" t="s">
        <v>74</v>
      </c>
      <c r="D76" s="1" t="s">
        <v>74</v>
      </c>
      <c r="E76" s="1" t="s">
        <v>74</v>
      </c>
      <c r="F76" s="1" t="s">
        <v>920</v>
      </c>
      <c r="G76" s="1" t="s">
        <v>74</v>
      </c>
      <c r="H76" s="1" t="s">
        <v>74</v>
      </c>
      <c r="I76" s="1" t="s">
        <v>921</v>
      </c>
      <c r="J76" s="1" t="s">
        <v>525</v>
      </c>
      <c r="K76" s="1" t="s">
        <v>74</v>
      </c>
      <c r="L76" s="1" t="s">
        <v>74</v>
      </c>
      <c r="M76" s="1" t="s">
        <v>74</v>
      </c>
      <c r="N76" s="1" t="s">
        <v>74</v>
      </c>
      <c r="O76" s="1" t="s">
        <v>74</v>
      </c>
      <c r="P76" s="1" t="s">
        <v>74</v>
      </c>
      <c r="Q76" s="1" t="s">
        <v>74</v>
      </c>
      <c r="R76" s="1" t="s">
        <v>74</v>
      </c>
      <c r="S76" s="1" t="s">
        <v>74</v>
      </c>
      <c r="T76" s="1" t="s">
        <v>74</v>
      </c>
      <c r="U76" s="1" t="s">
        <v>74</v>
      </c>
      <c r="V76" s="1" t="s">
        <v>922</v>
      </c>
      <c r="W76" s="1" t="s">
        <v>74</v>
      </c>
      <c r="X76" s="1" t="s">
        <v>74</v>
      </c>
      <c r="Y76" s="1" t="s">
        <v>74</v>
      </c>
      <c r="Z76" s="1" t="s">
        <v>74</v>
      </c>
      <c r="AA76" s="1" t="s">
        <v>923</v>
      </c>
      <c r="AB76" s="1" t="s">
        <v>924</v>
      </c>
      <c r="AC76" s="1" t="s">
        <v>74</v>
      </c>
      <c r="AD76" s="1" t="s">
        <v>74</v>
      </c>
      <c r="AE76" s="1" t="s">
        <v>74</v>
      </c>
      <c r="AF76" s="1" t="s">
        <v>74</v>
      </c>
      <c r="AG76" s="1" t="s">
        <v>74</v>
      </c>
      <c r="AH76" s="1" t="s">
        <v>74</v>
      </c>
      <c r="AI76" s="1" t="s">
        <v>74</v>
      </c>
      <c r="AJ76" s="1" t="s">
        <v>74</v>
      </c>
      <c r="AK76" s="1" t="s">
        <v>74</v>
      </c>
      <c r="AL76" s="1" t="s">
        <v>74</v>
      </c>
      <c r="AM76" s="1" t="s">
        <v>74</v>
      </c>
      <c r="AN76" s="1" t="s">
        <v>74</v>
      </c>
      <c r="AO76" s="1" t="s">
        <v>529</v>
      </c>
      <c r="AP76" s="1" t="s">
        <v>530</v>
      </c>
      <c r="AQ76" s="1" t="s">
        <v>74</v>
      </c>
      <c r="AR76" s="1" t="s">
        <v>74</v>
      </c>
      <c r="AS76" s="1" t="s">
        <v>74</v>
      </c>
      <c r="AT76" s="1" t="s">
        <v>531</v>
      </c>
      <c r="AU76" s="1">
        <v>2022.0</v>
      </c>
      <c r="AV76" s="1">
        <v>39.0</v>
      </c>
      <c r="AW76" s="1">
        <v>5.0</v>
      </c>
      <c r="AX76" s="1" t="s">
        <v>74</v>
      </c>
      <c r="AY76" s="1" t="s">
        <v>74</v>
      </c>
      <c r="AZ76" s="1" t="s">
        <v>74</v>
      </c>
      <c r="BA76" s="1" t="s">
        <v>74</v>
      </c>
      <c r="BB76" s="1">
        <v>1004.0</v>
      </c>
      <c r="BC76" s="1">
        <v>1011.0</v>
      </c>
      <c r="BD76" s="1" t="s">
        <v>74</v>
      </c>
      <c r="BE76" s="1" t="s">
        <v>925</v>
      </c>
      <c r="BF76" s="2" t="str">
        <f>HYPERLINK("http://dx.doi.org/10.20960/nh.04061","http://dx.doi.org/10.20960/nh.04061")</f>
        <v>http://dx.doi.org/10.20960/nh.04061</v>
      </c>
      <c r="BG76" s="1" t="s">
        <v>74</v>
      </c>
      <c r="BH76" s="1" t="s">
        <v>74</v>
      </c>
      <c r="BI76" s="1" t="s">
        <v>74</v>
      </c>
      <c r="BJ76" s="1" t="s">
        <v>74</v>
      </c>
      <c r="BK76" s="1" t="s">
        <v>74</v>
      </c>
      <c r="BL76" s="1" t="s">
        <v>74</v>
      </c>
      <c r="BM76" s="1" t="s">
        <v>74</v>
      </c>
      <c r="BN76" s="1">
        <v>3.6134587E7</v>
      </c>
      <c r="BO76" s="1" t="s">
        <v>74</v>
      </c>
      <c r="BP76" s="1" t="s">
        <v>74</v>
      </c>
      <c r="BQ76" s="1" t="s">
        <v>74</v>
      </c>
      <c r="BR76" s="1" t="s">
        <v>74</v>
      </c>
      <c r="BS76" s="1" t="s">
        <v>926</v>
      </c>
      <c r="BT76" s="1" t="str">
        <f>HYPERLINK("https%3A%2F%2Fwww.webofscience.com%2Fwos%2Fwoscc%2Ffull-record%2FWOS:000878607900004","View Full Record in Web of Science")</f>
        <v>View Full Record in Web of Science</v>
      </c>
    </row>
    <row r="77" ht="12.75" customHeight="1">
      <c r="A77" s="1" t="s">
        <v>72</v>
      </c>
      <c r="B77" s="1" t="s">
        <v>927</v>
      </c>
      <c r="C77" s="1" t="s">
        <v>74</v>
      </c>
      <c r="D77" s="1" t="s">
        <v>74</v>
      </c>
      <c r="E77" s="1" t="s">
        <v>74</v>
      </c>
      <c r="F77" s="1" t="s">
        <v>928</v>
      </c>
      <c r="G77" s="1" t="s">
        <v>74</v>
      </c>
      <c r="H77" s="1" t="s">
        <v>74</v>
      </c>
      <c r="I77" s="1" t="s">
        <v>929</v>
      </c>
      <c r="J77" s="1" t="s">
        <v>930</v>
      </c>
      <c r="K77" s="1" t="s">
        <v>74</v>
      </c>
      <c r="L77" s="1" t="s">
        <v>74</v>
      </c>
      <c r="M77" s="1" t="s">
        <v>74</v>
      </c>
      <c r="N77" s="1" t="s">
        <v>74</v>
      </c>
      <c r="O77" s="1" t="s">
        <v>74</v>
      </c>
      <c r="P77" s="1" t="s">
        <v>74</v>
      </c>
      <c r="Q77" s="1" t="s">
        <v>74</v>
      </c>
      <c r="R77" s="1" t="s">
        <v>74</v>
      </c>
      <c r="S77" s="1" t="s">
        <v>74</v>
      </c>
      <c r="T77" s="1" t="s">
        <v>74</v>
      </c>
      <c r="U77" s="1" t="s">
        <v>74</v>
      </c>
      <c r="V77" s="1" t="s">
        <v>931</v>
      </c>
      <c r="W77" s="1" t="s">
        <v>74</v>
      </c>
      <c r="X77" s="1" t="s">
        <v>74</v>
      </c>
      <c r="Y77" s="1" t="s">
        <v>74</v>
      </c>
      <c r="Z77" s="1" t="s">
        <v>74</v>
      </c>
      <c r="AA77" s="1" t="s">
        <v>932</v>
      </c>
      <c r="AB77" s="1" t="s">
        <v>933</v>
      </c>
      <c r="AC77" s="1" t="s">
        <v>74</v>
      </c>
      <c r="AD77" s="1" t="s">
        <v>74</v>
      </c>
      <c r="AE77" s="1" t="s">
        <v>74</v>
      </c>
      <c r="AF77" s="1" t="s">
        <v>74</v>
      </c>
      <c r="AG77" s="1" t="s">
        <v>74</v>
      </c>
      <c r="AH77" s="1" t="s">
        <v>74</v>
      </c>
      <c r="AI77" s="1" t="s">
        <v>74</v>
      </c>
      <c r="AJ77" s="1" t="s">
        <v>74</v>
      </c>
      <c r="AK77" s="1" t="s">
        <v>74</v>
      </c>
      <c r="AL77" s="1" t="s">
        <v>74</v>
      </c>
      <c r="AM77" s="1" t="s">
        <v>74</v>
      </c>
      <c r="AN77" s="1" t="s">
        <v>74</v>
      </c>
      <c r="AO77" s="1" t="s">
        <v>934</v>
      </c>
      <c r="AP77" s="1" t="s">
        <v>935</v>
      </c>
      <c r="AQ77" s="1" t="s">
        <v>74</v>
      </c>
      <c r="AR77" s="1" t="s">
        <v>74</v>
      </c>
      <c r="AS77" s="1" t="s">
        <v>74</v>
      </c>
      <c r="AT77" s="1" t="s">
        <v>936</v>
      </c>
      <c r="AU77" s="1">
        <v>2020.0</v>
      </c>
      <c r="AV77" s="1">
        <v>2020.0</v>
      </c>
      <c r="AW77" s="1" t="s">
        <v>74</v>
      </c>
      <c r="AX77" s="1" t="s">
        <v>74</v>
      </c>
      <c r="AY77" s="1" t="s">
        <v>74</v>
      </c>
      <c r="AZ77" s="1" t="s">
        <v>74</v>
      </c>
      <c r="BA77" s="1" t="s">
        <v>74</v>
      </c>
      <c r="BB77" s="1" t="s">
        <v>74</v>
      </c>
      <c r="BC77" s="1" t="s">
        <v>74</v>
      </c>
      <c r="BD77" s="1">
        <v>6253013.0</v>
      </c>
      <c r="BE77" s="1" t="s">
        <v>937</v>
      </c>
      <c r="BF77" s="2" t="str">
        <f>HYPERLINK("http://dx.doi.org/10.1155/2020/6253013","http://dx.doi.org/10.1155/2020/6253013")</f>
        <v>http://dx.doi.org/10.1155/2020/6253013</v>
      </c>
      <c r="BG77" s="1" t="s">
        <v>74</v>
      </c>
      <c r="BH77" s="1" t="s">
        <v>74</v>
      </c>
      <c r="BI77" s="1" t="s">
        <v>74</v>
      </c>
      <c r="BJ77" s="1" t="s">
        <v>74</v>
      </c>
      <c r="BK77" s="1" t="s">
        <v>74</v>
      </c>
      <c r="BL77" s="1" t="s">
        <v>74</v>
      </c>
      <c r="BM77" s="1" t="s">
        <v>74</v>
      </c>
      <c r="BN77" s="1" t="s">
        <v>74</v>
      </c>
      <c r="BO77" s="1" t="s">
        <v>74</v>
      </c>
      <c r="BP77" s="1" t="s">
        <v>74</v>
      </c>
      <c r="BQ77" s="1" t="s">
        <v>74</v>
      </c>
      <c r="BR77" s="1" t="s">
        <v>74</v>
      </c>
      <c r="BS77" s="1" t="s">
        <v>938</v>
      </c>
      <c r="BT77" s="1" t="str">
        <f>HYPERLINK("https%3A%2F%2Fwww.webofscience.com%2Fwos%2Fwoscc%2Ffull-record%2FWOS:000514426900001","View Full Record in Web of Science")</f>
        <v>View Full Record in Web of Science</v>
      </c>
    </row>
    <row r="78" ht="12.75" customHeight="1">
      <c r="A78" s="1" t="s">
        <v>462</v>
      </c>
      <c r="B78" s="1" t="s">
        <v>939</v>
      </c>
      <c r="C78" s="1" t="s">
        <v>74</v>
      </c>
      <c r="D78" s="1" t="s">
        <v>940</v>
      </c>
      <c r="E78" s="1" t="s">
        <v>74</v>
      </c>
      <c r="F78" s="1" t="s">
        <v>941</v>
      </c>
      <c r="G78" s="1" t="s">
        <v>74</v>
      </c>
      <c r="H78" s="1" t="s">
        <v>74</v>
      </c>
      <c r="I78" s="1" t="s">
        <v>942</v>
      </c>
      <c r="J78" s="1" t="s">
        <v>943</v>
      </c>
      <c r="K78" s="1" t="s">
        <v>944</v>
      </c>
      <c r="L78" s="1" t="s">
        <v>74</v>
      </c>
      <c r="M78" s="1" t="s">
        <v>74</v>
      </c>
      <c r="N78" s="1" t="s">
        <v>74</v>
      </c>
      <c r="O78" s="1" t="s">
        <v>945</v>
      </c>
      <c r="P78" s="1" t="s">
        <v>946</v>
      </c>
      <c r="Q78" s="1" t="s">
        <v>947</v>
      </c>
      <c r="R78" s="1" t="s">
        <v>948</v>
      </c>
      <c r="S78" s="1" t="s">
        <v>949</v>
      </c>
      <c r="T78" s="1" t="s">
        <v>74</v>
      </c>
      <c r="U78" s="1" t="s">
        <v>74</v>
      </c>
      <c r="V78" s="1" t="s">
        <v>950</v>
      </c>
      <c r="W78" s="1" t="s">
        <v>74</v>
      </c>
      <c r="X78" s="1" t="s">
        <v>74</v>
      </c>
      <c r="Y78" s="1" t="s">
        <v>74</v>
      </c>
      <c r="Z78" s="1" t="s">
        <v>74</v>
      </c>
      <c r="AA78" s="1" t="s">
        <v>951</v>
      </c>
      <c r="AB78" s="1" t="s">
        <v>952</v>
      </c>
      <c r="AC78" s="1" t="s">
        <v>74</v>
      </c>
      <c r="AD78" s="1" t="s">
        <v>74</v>
      </c>
      <c r="AE78" s="1" t="s">
        <v>74</v>
      </c>
      <c r="AF78" s="1" t="s">
        <v>74</v>
      </c>
      <c r="AG78" s="1" t="s">
        <v>74</v>
      </c>
      <c r="AH78" s="1" t="s">
        <v>74</v>
      </c>
      <c r="AI78" s="1" t="s">
        <v>74</v>
      </c>
      <c r="AJ78" s="1" t="s">
        <v>74</v>
      </c>
      <c r="AK78" s="1" t="s">
        <v>74</v>
      </c>
      <c r="AL78" s="1" t="s">
        <v>74</v>
      </c>
      <c r="AM78" s="1" t="s">
        <v>74</v>
      </c>
      <c r="AN78" s="1" t="s">
        <v>74</v>
      </c>
      <c r="AO78" s="1" t="s">
        <v>953</v>
      </c>
      <c r="AP78" s="1" t="s">
        <v>954</v>
      </c>
      <c r="AQ78" s="1" t="s">
        <v>955</v>
      </c>
      <c r="AR78" s="1" t="s">
        <v>74</v>
      </c>
      <c r="AS78" s="1" t="s">
        <v>74</v>
      </c>
      <c r="AT78" s="1" t="s">
        <v>74</v>
      </c>
      <c r="AU78" s="1">
        <v>2020.0</v>
      </c>
      <c r="AV78" s="1">
        <v>12049.0</v>
      </c>
      <c r="AW78" s="1" t="s">
        <v>74</v>
      </c>
      <c r="AX78" s="1" t="s">
        <v>74</v>
      </c>
      <c r="AY78" s="1" t="s">
        <v>74</v>
      </c>
      <c r="AZ78" s="1" t="s">
        <v>74</v>
      </c>
      <c r="BA78" s="1" t="s">
        <v>74</v>
      </c>
      <c r="BB78" s="1">
        <v>261.0</v>
      </c>
      <c r="BC78" s="1">
        <v>272.0</v>
      </c>
      <c r="BD78" s="1" t="s">
        <v>74</v>
      </c>
      <c r="BE78" s="1" t="s">
        <v>956</v>
      </c>
      <c r="BF78" s="2" t="str">
        <f>HYPERLINK("http://dx.doi.org/10.1007/978-3-030-39881-1_22","http://dx.doi.org/10.1007/978-3-030-39881-1_22")</f>
        <v>http://dx.doi.org/10.1007/978-3-030-39881-1_22</v>
      </c>
      <c r="BG78" s="1" t="s">
        <v>74</v>
      </c>
      <c r="BH78" s="1" t="s">
        <v>74</v>
      </c>
      <c r="BI78" s="1" t="s">
        <v>74</v>
      </c>
      <c r="BJ78" s="1" t="s">
        <v>74</v>
      </c>
      <c r="BK78" s="1" t="s">
        <v>74</v>
      </c>
      <c r="BL78" s="1" t="s">
        <v>74</v>
      </c>
      <c r="BM78" s="1" t="s">
        <v>74</v>
      </c>
      <c r="BN78" s="1" t="s">
        <v>74</v>
      </c>
      <c r="BO78" s="1" t="s">
        <v>74</v>
      </c>
      <c r="BP78" s="1" t="s">
        <v>74</v>
      </c>
      <c r="BQ78" s="1" t="s">
        <v>74</v>
      </c>
      <c r="BR78" s="1" t="s">
        <v>74</v>
      </c>
      <c r="BS78" s="1" t="s">
        <v>957</v>
      </c>
      <c r="BT78" s="1" t="str">
        <f>HYPERLINK("https%3A%2F%2Fwww.webofscience.com%2Fwos%2Fwoscc%2Ffull-record%2FWOS:000663418900022","View Full Record in Web of Science")</f>
        <v>View Full Record in Web of Science</v>
      </c>
    </row>
    <row r="79" ht="12.75" customHeight="1">
      <c r="A79" s="1" t="s">
        <v>72</v>
      </c>
      <c r="B79" s="1" t="s">
        <v>958</v>
      </c>
      <c r="C79" s="1" t="s">
        <v>74</v>
      </c>
      <c r="D79" s="1" t="s">
        <v>74</v>
      </c>
      <c r="E79" s="1" t="s">
        <v>74</v>
      </c>
      <c r="F79" s="1" t="s">
        <v>959</v>
      </c>
      <c r="G79" s="1" t="s">
        <v>74</v>
      </c>
      <c r="H79" s="1" t="s">
        <v>74</v>
      </c>
      <c r="I79" s="1" t="s">
        <v>960</v>
      </c>
      <c r="J79" s="1" t="s">
        <v>961</v>
      </c>
      <c r="K79" s="1" t="s">
        <v>74</v>
      </c>
      <c r="L79" s="1" t="s">
        <v>74</v>
      </c>
      <c r="M79" s="1" t="s">
        <v>74</v>
      </c>
      <c r="N79" s="1" t="s">
        <v>74</v>
      </c>
      <c r="O79" s="1" t="s">
        <v>74</v>
      </c>
      <c r="P79" s="1" t="s">
        <v>74</v>
      </c>
      <c r="Q79" s="1" t="s">
        <v>74</v>
      </c>
      <c r="R79" s="1" t="s">
        <v>74</v>
      </c>
      <c r="S79" s="1" t="s">
        <v>74</v>
      </c>
      <c r="T79" s="1" t="s">
        <v>74</v>
      </c>
      <c r="U79" s="1" t="s">
        <v>74</v>
      </c>
      <c r="V79" s="1" t="s">
        <v>962</v>
      </c>
      <c r="W79" s="1" t="s">
        <v>74</v>
      </c>
      <c r="X79" s="1" t="s">
        <v>74</v>
      </c>
      <c r="Y79" s="1" t="s">
        <v>74</v>
      </c>
      <c r="Z79" s="1" t="s">
        <v>74</v>
      </c>
      <c r="AA79" s="1" t="s">
        <v>963</v>
      </c>
      <c r="AB79" s="1" t="s">
        <v>964</v>
      </c>
      <c r="AC79" s="1" t="s">
        <v>74</v>
      </c>
      <c r="AD79" s="1" t="s">
        <v>74</v>
      </c>
      <c r="AE79" s="1" t="s">
        <v>74</v>
      </c>
      <c r="AF79" s="1" t="s">
        <v>74</v>
      </c>
      <c r="AG79" s="1" t="s">
        <v>74</v>
      </c>
      <c r="AH79" s="1" t="s">
        <v>74</v>
      </c>
      <c r="AI79" s="1" t="s">
        <v>74</v>
      </c>
      <c r="AJ79" s="1" t="s">
        <v>74</v>
      </c>
      <c r="AK79" s="1" t="s">
        <v>74</v>
      </c>
      <c r="AL79" s="1" t="s">
        <v>74</v>
      </c>
      <c r="AM79" s="1" t="s">
        <v>74</v>
      </c>
      <c r="AN79" s="1" t="s">
        <v>74</v>
      </c>
      <c r="AO79" s="1" t="s">
        <v>965</v>
      </c>
      <c r="AP79" s="1" t="s">
        <v>74</v>
      </c>
      <c r="AQ79" s="1" t="s">
        <v>74</v>
      </c>
      <c r="AR79" s="1" t="s">
        <v>74</v>
      </c>
      <c r="AS79" s="1" t="s">
        <v>74</v>
      </c>
      <c r="AT79" s="1" t="s">
        <v>106</v>
      </c>
      <c r="AU79" s="1">
        <v>2018.0</v>
      </c>
      <c r="AV79" s="1">
        <v>74.0</v>
      </c>
      <c r="AW79" s="1" t="s">
        <v>74</v>
      </c>
      <c r="AX79" s="1">
        <v>11.0</v>
      </c>
      <c r="AY79" s="1" t="s">
        <v>74</v>
      </c>
      <c r="AZ79" s="1" t="s">
        <v>448</v>
      </c>
      <c r="BA79" s="1" t="s">
        <v>74</v>
      </c>
      <c r="BB79" s="1">
        <v>1547.0</v>
      </c>
      <c r="BC79" s="1" t="s">
        <v>966</v>
      </c>
      <c r="BD79" s="1" t="s">
        <v>74</v>
      </c>
      <c r="BE79" s="1" t="s">
        <v>967</v>
      </c>
      <c r="BF79" s="2" t="str">
        <f>HYPERLINK("http://dx.doi.org/10.1107/S2053229618014201","http://dx.doi.org/10.1107/S2053229618014201")</f>
        <v>http://dx.doi.org/10.1107/S2053229618014201</v>
      </c>
      <c r="BG79" s="1" t="s">
        <v>74</v>
      </c>
      <c r="BH79" s="1" t="s">
        <v>74</v>
      </c>
      <c r="BI79" s="1" t="s">
        <v>74</v>
      </c>
      <c r="BJ79" s="1" t="s">
        <v>74</v>
      </c>
      <c r="BK79" s="1" t="s">
        <v>74</v>
      </c>
      <c r="BL79" s="1" t="s">
        <v>74</v>
      </c>
      <c r="BM79" s="1" t="s">
        <v>74</v>
      </c>
      <c r="BN79" s="1">
        <v>3.0398212E7</v>
      </c>
      <c r="BO79" s="1" t="s">
        <v>74</v>
      </c>
      <c r="BP79" s="1" t="s">
        <v>74</v>
      </c>
      <c r="BQ79" s="1" t="s">
        <v>74</v>
      </c>
      <c r="BR79" s="1" t="s">
        <v>74</v>
      </c>
      <c r="BS79" s="1" t="s">
        <v>968</v>
      </c>
      <c r="BT79" s="1" t="str">
        <f>HYPERLINK("https%3A%2F%2Fwww.webofscience.com%2Fwos%2Fwoscc%2Ffull-record%2FWOS:000449511500043","View Full Record in Web of Science")</f>
        <v>View Full Record in Web of Science</v>
      </c>
    </row>
    <row r="80" ht="12.75" customHeight="1">
      <c r="A80" s="1" t="s">
        <v>72</v>
      </c>
      <c r="B80" s="1" t="s">
        <v>969</v>
      </c>
      <c r="C80" s="1" t="s">
        <v>74</v>
      </c>
      <c r="D80" s="1" t="s">
        <v>74</v>
      </c>
      <c r="E80" s="1" t="s">
        <v>74</v>
      </c>
      <c r="F80" s="1" t="s">
        <v>970</v>
      </c>
      <c r="G80" s="1" t="s">
        <v>74</v>
      </c>
      <c r="H80" s="1" t="s">
        <v>74</v>
      </c>
      <c r="I80" s="1" t="s">
        <v>971</v>
      </c>
      <c r="J80" s="1" t="s">
        <v>972</v>
      </c>
      <c r="K80" s="1" t="s">
        <v>74</v>
      </c>
      <c r="L80" s="1" t="s">
        <v>74</v>
      </c>
      <c r="M80" s="1" t="s">
        <v>74</v>
      </c>
      <c r="N80" s="1" t="s">
        <v>74</v>
      </c>
      <c r="O80" s="1" t="s">
        <v>74</v>
      </c>
      <c r="P80" s="1" t="s">
        <v>74</v>
      </c>
      <c r="Q80" s="1" t="s">
        <v>74</v>
      </c>
      <c r="R80" s="1" t="s">
        <v>74</v>
      </c>
      <c r="S80" s="1" t="s">
        <v>74</v>
      </c>
      <c r="T80" s="1" t="s">
        <v>74</v>
      </c>
      <c r="U80" s="1" t="s">
        <v>74</v>
      </c>
      <c r="V80" s="1" t="s">
        <v>973</v>
      </c>
      <c r="W80" s="1" t="s">
        <v>74</v>
      </c>
      <c r="X80" s="1" t="s">
        <v>74</v>
      </c>
      <c r="Y80" s="1" t="s">
        <v>74</v>
      </c>
      <c r="Z80" s="1" t="s">
        <v>74</v>
      </c>
      <c r="AA80" s="1" t="s">
        <v>974</v>
      </c>
      <c r="AB80" s="1" t="s">
        <v>975</v>
      </c>
      <c r="AC80" s="1" t="s">
        <v>74</v>
      </c>
      <c r="AD80" s="1" t="s">
        <v>74</v>
      </c>
      <c r="AE80" s="1" t="s">
        <v>74</v>
      </c>
      <c r="AF80" s="1" t="s">
        <v>74</v>
      </c>
      <c r="AG80" s="1" t="s">
        <v>74</v>
      </c>
      <c r="AH80" s="1" t="s">
        <v>74</v>
      </c>
      <c r="AI80" s="1" t="s">
        <v>74</v>
      </c>
      <c r="AJ80" s="1" t="s">
        <v>74</v>
      </c>
      <c r="AK80" s="1" t="s">
        <v>74</v>
      </c>
      <c r="AL80" s="1" t="s">
        <v>74</v>
      </c>
      <c r="AM80" s="1" t="s">
        <v>74</v>
      </c>
      <c r="AN80" s="1" t="s">
        <v>74</v>
      </c>
      <c r="AO80" s="1" t="s">
        <v>976</v>
      </c>
      <c r="AP80" s="1" t="s">
        <v>977</v>
      </c>
      <c r="AQ80" s="1" t="s">
        <v>74</v>
      </c>
      <c r="AR80" s="1" t="s">
        <v>74</v>
      </c>
      <c r="AS80" s="1" t="s">
        <v>74</v>
      </c>
      <c r="AT80" s="1" t="s">
        <v>334</v>
      </c>
      <c r="AU80" s="1">
        <v>2018.0</v>
      </c>
      <c r="AV80" s="1">
        <v>99.0</v>
      </c>
      <c r="AW80" s="1">
        <v>10.0</v>
      </c>
      <c r="AX80" s="1" t="s">
        <v>74</v>
      </c>
      <c r="AY80" s="1" t="s">
        <v>74</v>
      </c>
      <c r="AZ80" s="1" t="s">
        <v>74</v>
      </c>
      <c r="BA80" s="1" t="s">
        <v>74</v>
      </c>
      <c r="BB80" s="1">
        <v>2100.0</v>
      </c>
      <c r="BC80" s="1">
        <v>2113.0</v>
      </c>
      <c r="BD80" s="1" t="s">
        <v>74</v>
      </c>
      <c r="BE80" s="1" t="s">
        <v>978</v>
      </c>
      <c r="BF80" s="2" t="str">
        <f>HYPERLINK("http://dx.doi.org/10.1016/j.apmr.2018.01.008","http://dx.doi.org/10.1016/j.apmr.2018.01.008")</f>
        <v>http://dx.doi.org/10.1016/j.apmr.2018.01.008</v>
      </c>
      <c r="BG80" s="1" t="s">
        <v>74</v>
      </c>
      <c r="BH80" s="1" t="s">
        <v>74</v>
      </c>
      <c r="BI80" s="1" t="s">
        <v>74</v>
      </c>
      <c r="BJ80" s="1" t="s">
        <v>74</v>
      </c>
      <c r="BK80" s="1" t="s">
        <v>74</v>
      </c>
      <c r="BL80" s="1" t="s">
        <v>74</v>
      </c>
      <c r="BM80" s="1" t="s">
        <v>74</v>
      </c>
      <c r="BN80" s="1">
        <v>2.94257E7</v>
      </c>
      <c r="BO80" s="1" t="s">
        <v>74</v>
      </c>
      <c r="BP80" s="1" t="s">
        <v>74</v>
      </c>
      <c r="BQ80" s="1" t="s">
        <v>74</v>
      </c>
      <c r="BR80" s="1" t="s">
        <v>74</v>
      </c>
      <c r="BS80" s="1" t="s">
        <v>979</v>
      </c>
      <c r="BT80" s="1" t="str">
        <f>HYPERLINK("https%3A%2F%2Fwww.webofscience.com%2Fwos%2Fwoscc%2Ffull-record%2FWOS:000447245600017","View Full Record in Web of Science")</f>
        <v>View Full Record in Web of Science</v>
      </c>
    </row>
    <row r="81" ht="12.75" customHeight="1">
      <c r="A81" s="1" t="s">
        <v>72</v>
      </c>
      <c r="B81" s="1" t="s">
        <v>980</v>
      </c>
      <c r="C81" s="1" t="s">
        <v>74</v>
      </c>
      <c r="D81" s="1" t="s">
        <v>74</v>
      </c>
      <c r="E81" s="1" t="s">
        <v>74</v>
      </c>
      <c r="F81" s="1" t="s">
        <v>981</v>
      </c>
      <c r="G81" s="1" t="s">
        <v>74</v>
      </c>
      <c r="H81" s="1" t="s">
        <v>74</v>
      </c>
      <c r="I81" s="1" t="s">
        <v>982</v>
      </c>
      <c r="J81" s="1" t="s">
        <v>983</v>
      </c>
      <c r="K81" s="1" t="s">
        <v>74</v>
      </c>
      <c r="L81" s="1" t="s">
        <v>74</v>
      </c>
      <c r="M81" s="1" t="s">
        <v>74</v>
      </c>
      <c r="N81" s="1" t="s">
        <v>74</v>
      </c>
      <c r="O81" s="1" t="s">
        <v>74</v>
      </c>
      <c r="P81" s="1" t="s">
        <v>74</v>
      </c>
      <c r="Q81" s="1" t="s">
        <v>74</v>
      </c>
      <c r="R81" s="1" t="s">
        <v>74</v>
      </c>
      <c r="S81" s="1" t="s">
        <v>74</v>
      </c>
      <c r="T81" s="1" t="s">
        <v>74</v>
      </c>
      <c r="U81" s="1" t="s">
        <v>74</v>
      </c>
      <c r="V81" s="1" t="s">
        <v>984</v>
      </c>
      <c r="W81" s="1" t="s">
        <v>74</v>
      </c>
      <c r="X81" s="1" t="s">
        <v>74</v>
      </c>
      <c r="Y81" s="1" t="s">
        <v>74</v>
      </c>
      <c r="Z81" s="1" t="s">
        <v>74</v>
      </c>
      <c r="AA81" s="1" t="s">
        <v>985</v>
      </c>
      <c r="AB81" s="1" t="s">
        <v>986</v>
      </c>
      <c r="AC81" s="1" t="s">
        <v>74</v>
      </c>
      <c r="AD81" s="1" t="s">
        <v>74</v>
      </c>
      <c r="AE81" s="1" t="s">
        <v>74</v>
      </c>
      <c r="AF81" s="1" t="s">
        <v>74</v>
      </c>
      <c r="AG81" s="1" t="s">
        <v>74</v>
      </c>
      <c r="AH81" s="1" t="s">
        <v>74</v>
      </c>
      <c r="AI81" s="1" t="s">
        <v>74</v>
      </c>
      <c r="AJ81" s="1" t="s">
        <v>74</v>
      </c>
      <c r="AK81" s="1" t="s">
        <v>74</v>
      </c>
      <c r="AL81" s="1" t="s">
        <v>74</v>
      </c>
      <c r="AM81" s="1" t="s">
        <v>74</v>
      </c>
      <c r="AN81" s="1" t="s">
        <v>74</v>
      </c>
      <c r="AO81" s="1" t="s">
        <v>987</v>
      </c>
      <c r="AP81" s="1" t="s">
        <v>74</v>
      </c>
      <c r="AQ81" s="1" t="s">
        <v>74</v>
      </c>
      <c r="AR81" s="1" t="s">
        <v>74</v>
      </c>
      <c r="AS81" s="1" t="s">
        <v>74</v>
      </c>
      <c r="AT81" s="1" t="s">
        <v>988</v>
      </c>
      <c r="AU81" s="1">
        <v>2015.0</v>
      </c>
      <c r="AV81" s="1">
        <v>86.0</v>
      </c>
      <c r="AW81" s="1" t="s">
        <v>74</v>
      </c>
      <c r="AX81" s="1" t="s">
        <v>74</v>
      </c>
      <c r="AY81" s="1" t="s">
        <v>74</v>
      </c>
      <c r="AZ81" s="1" t="s">
        <v>448</v>
      </c>
      <c r="BA81" s="1" t="s">
        <v>74</v>
      </c>
      <c r="BB81" s="1">
        <v>120.0</v>
      </c>
      <c r="BC81" s="1">
        <v>124.0</v>
      </c>
      <c r="BD81" s="1" t="s">
        <v>74</v>
      </c>
      <c r="BE81" s="1" t="s">
        <v>989</v>
      </c>
      <c r="BF81" s="2" t="str">
        <f>HYPERLINK("http://dx.doi.org/10.1016/j.poly.2014.06.027","http://dx.doi.org/10.1016/j.poly.2014.06.027")</f>
        <v>http://dx.doi.org/10.1016/j.poly.2014.06.027</v>
      </c>
      <c r="BG81" s="1" t="s">
        <v>74</v>
      </c>
      <c r="BH81" s="1" t="s">
        <v>74</v>
      </c>
      <c r="BI81" s="1" t="s">
        <v>74</v>
      </c>
      <c r="BJ81" s="1" t="s">
        <v>74</v>
      </c>
      <c r="BK81" s="1" t="s">
        <v>74</v>
      </c>
      <c r="BL81" s="1" t="s">
        <v>74</v>
      </c>
      <c r="BM81" s="1" t="s">
        <v>74</v>
      </c>
      <c r="BN81" s="1" t="s">
        <v>74</v>
      </c>
      <c r="BO81" s="1" t="s">
        <v>74</v>
      </c>
      <c r="BP81" s="1" t="s">
        <v>74</v>
      </c>
      <c r="BQ81" s="1" t="s">
        <v>74</v>
      </c>
      <c r="BR81" s="1" t="s">
        <v>74</v>
      </c>
      <c r="BS81" s="1" t="s">
        <v>990</v>
      </c>
      <c r="BT81" s="1" t="str">
        <f>HYPERLINK("https%3A%2F%2Fwww.webofscience.com%2Fwos%2Fwoscc%2Ffull-record%2FWOS:000348955200017","View Full Record in Web of Science")</f>
        <v>View Full Record in Web of Science</v>
      </c>
    </row>
    <row r="82" ht="12.75" customHeight="1">
      <c r="A82" s="1" t="s">
        <v>72</v>
      </c>
      <c r="B82" s="1" t="s">
        <v>991</v>
      </c>
      <c r="C82" s="1" t="s">
        <v>74</v>
      </c>
      <c r="D82" s="1" t="s">
        <v>74</v>
      </c>
      <c r="E82" s="1" t="s">
        <v>74</v>
      </c>
      <c r="F82" s="1" t="s">
        <v>992</v>
      </c>
      <c r="G82" s="1" t="s">
        <v>74</v>
      </c>
      <c r="H82" s="1" t="s">
        <v>74</v>
      </c>
      <c r="I82" s="1" t="s">
        <v>993</v>
      </c>
      <c r="J82" s="1" t="s">
        <v>739</v>
      </c>
      <c r="K82" s="1" t="s">
        <v>74</v>
      </c>
      <c r="L82" s="1" t="s">
        <v>74</v>
      </c>
      <c r="M82" s="1" t="s">
        <v>74</v>
      </c>
      <c r="N82" s="1" t="s">
        <v>74</v>
      </c>
      <c r="O82" s="1" t="s">
        <v>74</v>
      </c>
      <c r="P82" s="1" t="s">
        <v>74</v>
      </c>
      <c r="Q82" s="1" t="s">
        <v>74</v>
      </c>
      <c r="R82" s="1" t="s">
        <v>74</v>
      </c>
      <c r="S82" s="1" t="s">
        <v>74</v>
      </c>
      <c r="T82" s="1" t="s">
        <v>74</v>
      </c>
      <c r="U82" s="1" t="s">
        <v>74</v>
      </c>
      <c r="V82" s="1" t="s">
        <v>994</v>
      </c>
      <c r="W82" s="1" t="s">
        <v>74</v>
      </c>
      <c r="X82" s="1" t="s">
        <v>74</v>
      </c>
      <c r="Y82" s="1" t="s">
        <v>74</v>
      </c>
      <c r="Z82" s="1" t="s">
        <v>74</v>
      </c>
      <c r="AA82" s="1" t="s">
        <v>995</v>
      </c>
      <c r="AB82" s="1" t="s">
        <v>996</v>
      </c>
      <c r="AC82" s="1" t="s">
        <v>74</v>
      </c>
      <c r="AD82" s="1" t="s">
        <v>74</v>
      </c>
      <c r="AE82" s="1" t="s">
        <v>74</v>
      </c>
      <c r="AF82" s="1" t="s">
        <v>74</v>
      </c>
      <c r="AG82" s="1" t="s">
        <v>74</v>
      </c>
      <c r="AH82" s="1" t="s">
        <v>74</v>
      </c>
      <c r="AI82" s="1" t="s">
        <v>74</v>
      </c>
      <c r="AJ82" s="1" t="s">
        <v>74</v>
      </c>
      <c r="AK82" s="1" t="s">
        <v>74</v>
      </c>
      <c r="AL82" s="1" t="s">
        <v>74</v>
      </c>
      <c r="AM82" s="1" t="s">
        <v>74</v>
      </c>
      <c r="AN82" s="1" t="s">
        <v>74</v>
      </c>
      <c r="AO82" s="1" t="s">
        <v>743</v>
      </c>
      <c r="AP82" s="1" t="s">
        <v>744</v>
      </c>
      <c r="AQ82" s="1" t="s">
        <v>74</v>
      </c>
      <c r="AR82" s="1" t="s">
        <v>74</v>
      </c>
      <c r="AS82" s="1" t="s">
        <v>74</v>
      </c>
      <c r="AT82" s="1" t="s">
        <v>997</v>
      </c>
      <c r="AU82" s="1">
        <v>2012.0</v>
      </c>
      <c r="AV82" s="1">
        <v>85.0</v>
      </c>
      <c r="AW82" s="1">
        <v>3.0</v>
      </c>
      <c r="AX82" s="1" t="s">
        <v>74</v>
      </c>
      <c r="AY82" s="1" t="s">
        <v>74</v>
      </c>
      <c r="AZ82" s="1" t="s">
        <v>74</v>
      </c>
      <c r="BA82" s="1" t="s">
        <v>74</v>
      </c>
      <c r="BB82" s="1" t="s">
        <v>74</v>
      </c>
      <c r="BC82" s="1" t="s">
        <v>74</v>
      </c>
      <c r="BD82" s="1">
        <v>35439.0</v>
      </c>
      <c r="BE82" s="1" t="s">
        <v>998</v>
      </c>
      <c r="BF82" s="2" t="str">
        <f>HYPERLINK("http://dx.doi.org/10.1103/PhysRevB.85.035439","http://dx.doi.org/10.1103/PhysRevB.85.035439")</f>
        <v>http://dx.doi.org/10.1103/PhysRevB.85.035439</v>
      </c>
      <c r="BG82" s="1" t="s">
        <v>74</v>
      </c>
      <c r="BH82" s="1" t="s">
        <v>74</v>
      </c>
      <c r="BI82" s="1" t="s">
        <v>74</v>
      </c>
      <c r="BJ82" s="1" t="s">
        <v>74</v>
      </c>
      <c r="BK82" s="1" t="s">
        <v>74</v>
      </c>
      <c r="BL82" s="1" t="s">
        <v>74</v>
      </c>
      <c r="BM82" s="1" t="s">
        <v>74</v>
      </c>
      <c r="BN82" s="1" t="s">
        <v>74</v>
      </c>
      <c r="BO82" s="1" t="s">
        <v>74</v>
      </c>
      <c r="BP82" s="1" t="s">
        <v>74</v>
      </c>
      <c r="BQ82" s="1" t="s">
        <v>74</v>
      </c>
      <c r="BR82" s="1" t="s">
        <v>74</v>
      </c>
      <c r="BS82" s="1" t="s">
        <v>999</v>
      </c>
      <c r="BT82" s="1" t="str">
        <f>HYPERLINK("https%3A%2F%2Fwww.webofscience.com%2Fwos%2Fwoscc%2Ffull-record%2FWOS:000299425900004","View Full Record in Web of Science")</f>
        <v>View Full Record in Web of Science</v>
      </c>
    </row>
    <row r="83" ht="12.75" customHeight="1">
      <c r="A83" s="1" t="s">
        <v>72</v>
      </c>
      <c r="B83" s="1" t="s">
        <v>1000</v>
      </c>
      <c r="C83" s="1" t="s">
        <v>74</v>
      </c>
      <c r="D83" s="1" t="s">
        <v>74</v>
      </c>
      <c r="E83" s="1" t="s">
        <v>74</v>
      </c>
      <c r="F83" s="1" t="s">
        <v>1001</v>
      </c>
      <c r="G83" s="1" t="s">
        <v>74</v>
      </c>
      <c r="H83" s="1" t="s">
        <v>74</v>
      </c>
      <c r="I83" s="1" t="s">
        <v>1002</v>
      </c>
      <c r="J83" s="1" t="s">
        <v>1003</v>
      </c>
      <c r="K83" s="1" t="s">
        <v>74</v>
      </c>
      <c r="L83" s="1" t="s">
        <v>74</v>
      </c>
      <c r="M83" s="1" t="s">
        <v>74</v>
      </c>
      <c r="N83" s="1" t="s">
        <v>74</v>
      </c>
      <c r="O83" s="1" t="s">
        <v>74</v>
      </c>
      <c r="P83" s="1" t="s">
        <v>74</v>
      </c>
      <c r="Q83" s="1" t="s">
        <v>74</v>
      </c>
      <c r="R83" s="1" t="s">
        <v>74</v>
      </c>
      <c r="S83" s="1" t="s">
        <v>74</v>
      </c>
      <c r="T83" s="1" t="s">
        <v>74</v>
      </c>
      <c r="U83" s="1" t="s">
        <v>74</v>
      </c>
      <c r="V83" s="1" t="s">
        <v>74</v>
      </c>
      <c r="W83" s="1" t="s">
        <v>74</v>
      </c>
      <c r="X83" s="1" t="s">
        <v>74</v>
      </c>
      <c r="Y83" s="1" t="s">
        <v>74</v>
      </c>
      <c r="Z83" s="1" t="s">
        <v>74</v>
      </c>
      <c r="AA83" s="1" t="s">
        <v>1004</v>
      </c>
      <c r="AB83" s="1" t="s">
        <v>1005</v>
      </c>
      <c r="AC83" s="1" t="s">
        <v>74</v>
      </c>
      <c r="AD83" s="1" t="s">
        <v>74</v>
      </c>
      <c r="AE83" s="1" t="s">
        <v>74</v>
      </c>
      <c r="AF83" s="1" t="s">
        <v>74</v>
      </c>
      <c r="AG83" s="1" t="s">
        <v>74</v>
      </c>
      <c r="AH83" s="1" t="s">
        <v>74</v>
      </c>
      <c r="AI83" s="1" t="s">
        <v>74</v>
      </c>
      <c r="AJ83" s="1" t="s">
        <v>74</v>
      </c>
      <c r="AK83" s="1" t="s">
        <v>74</v>
      </c>
      <c r="AL83" s="1" t="s">
        <v>74</v>
      </c>
      <c r="AM83" s="1" t="s">
        <v>74</v>
      </c>
      <c r="AN83" s="1" t="s">
        <v>74</v>
      </c>
      <c r="AO83" s="1" t="s">
        <v>1006</v>
      </c>
      <c r="AP83" s="1" t="s">
        <v>1007</v>
      </c>
      <c r="AQ83" s="1" t="s">
        <v>74</v>
      </c>
      <c r="AR83" s="1" t="s">
        <v>74</v>
      </c>
      <c r="AS83" s="1" t="s">
        <v>74</v>
      </c>
      <c r="AT83" s="1" t="s">
        <v>745</v>
      </c>
      <c r="AU83" s="1">
        <v>2024.0</v>
      </c>
      <c r="AV83" s="1">
        <v>152.0</v>
      </c>
      <c r="AW83" s="1">
        <v>7.0</v>
      </c>
      <c r="AX83" s="1" t="s">
        <v>74</v>
      </c>
      <c r="AY83" s="1" t="s">
        <v>74</v>
      </c>
      <c r="AZ83" s="1" t="s">
        <v>74</v>
      </c>
      <c r="BA83" s="1" t="s">
        <v>74</v>
      </c>
      <c r="BB83" s="1">
        <v>840.0</v>
      </c>
      <c r="BC83" s="1">
        <v>843.0</v>
      </c>
      <c r="BD83" s="1" t="s">
        <v>74</v>
      </c>
      <c r="BE83" s="1" t="s">
        <v>1008</v>
      </c>
      <c r="BF83" s="2" t="str">
        <f>HYPERLINK("http://dx.doi.org/10.4067/s0034-98872024000700840","http://dx.doi.org/10.4067/s0034-98872024000700840")</f>
        <v>http://dx.doi.org/10.4067/s0034-98872024000700840</v>
      </c>
      <c r="BG83" s="1" t="s">
        <v>74</v>
      </c>
      <c r="BH83" s="1" t="s">
        <v>74</v>
      </c>
      <c r="BI83" s="1" t="s">
        <v>74</v>
      </c>
      <c r="BJ83" s="1" t="s">
        <v>74</v>
      </c>
      <c r="BK83" s="1" t="s">
        <v>74</v>
      </c>
      <c r="BL83" s="1" t="s">
        <v>74</v>
      </c>
      <c r="BM83" s="1" t="s">
        <v>74</v>
      </c>
      <c r="BN83" s="1">
        <v>3.9760554E7</v>
      </c>
      <c r="BO83" s="1" t="s">
        <v>74</v>
      </c>
      <c r="BP83" s="1" t="s">
        <v>74</v>
      </c>
      <c r="BQ83" s="1" t="s">
        <v>74</v>
      </c>
      <c r="BR83" s="1" t="s">
        <v>74</v>
      </c>
      <c r="BS83" s="1" t="s">
        <v>1009</v>
      </c>
      <c r="BT83" s="1" t="str">
        <f>HYPERLINK("https%3A%2F%2Fwww.webofscience.com%2Fwos%2Fwoscc%2Ffull-record%2FWOS:001358098900011","View Full Record in Web of Science")</f>
        <v>View Full Record in Web of Science</v>
      </c>
    </row>
    <row r="84" ht="12.75" customHeight="1">
      <c r="A84" s="1" t="s">
        <v>72</v>
      </c>
      <c r="B84" s="1" t="s">
        <v>1010</v>
      </c>
      <c r="C84" s="1" t="s">
        <v>74</v>
      </c>
      <c r="D84" s="1" t="s">
        <v>74</v>
      </c>
      <c r="E84" s="1" t="s">
        <v>74</v>
      </c>
      <c r="F84" s="1" t="s">
        <v>1011</v>
      </c>
      <c r="G84" s="1" t="s">
        <v>74</v>
      </c>
      <c r="H84" s="1" t="s">
        <v>74</v>
      </c>
      <c r="I84" s="1" t="s">
        <v>1012</v>
      </c>
      <c r="J84" s="1" t="s">
        <v>1013</v>
      </c>
      <c r="K84" s="1" t="s">
        <v>74</v>
      </c>
      <c r="L84" s="1" t="s">
        <v>74</v>
      </c>
      <c r="M84" s="1" t="s">
        <v>74</v>
      </c>
      <c r="N84" s="1" t="s">
        <v>74</v>
      </c>
      <c r="O84" s="1" t="s">
        <v>74</v>
      </c>
      <c r="P84" s="1" t="s">
        <v>74</v>
      </c>
      <c r="Q84" s="1" t="s">
        <v>74</v>
      </c>
      <c r="R84" s="1" t="s">
        <v>74</v>
      </c>
      <c r="S84" s="1" t="s">
        <v>74</v>
      </c>
      <c r="T84" s="1" t="s">
        <v>74</v>
      </c>
      <c r="U84" s="1" t="s">
        <v>74</v>
      </c>
      <c r="V84" s="1" t="s">
        <v>74</v>
      </c>
      <c r="W84" s="1" t="s">
        <v>74</v>
      </c>
      <c r="X84" s="1" t="s">
        <v>74</v>
      </c>
      <c r="Y84" s="1" t="s">
        <v>74</v>
      </c>
      <c r="Z84" s="1" t="s">
        <v>74</v>
      </c>
      <c r="AA84" s="1" t="s">
        <v>1014</v>
      </c>
      <c r="AB84" s="1" t="s">
        <v>1015</v>
      </c>
      <c r="AC84" s="1" t="s">
        <v>74</v>
      </c>
      <c r="AD84" s="1" t="s">
        <v>74</v>
      </c>
      <c r="AE84" s="1" t="s">
        <v>74</v>
      </c>
      <c r="AF84" s="1" t="s">
        <v>74</v>
      </c>
      <c r="AG84" s="1" t="s">
        <v>74</v>
      </c>
      <c r="AH84" s="1" t="s">
        <v>74</v>
      </c>
      <c r="AI84" s="1" t="s">
        <v>74</v>
      </c>
      <c r="AJ84" s="1" t="s">
        <v>74</v>
      </c>
      <c r="AK84" s="1" t="s">
        <v>74</v>
      </c>
      <c r="AL84" s="1" t="s">
        <v>74</v>
      </c>
      <c r="AM84" s="1" t="s">
        <v>74</v>
      </c>
      <c r="AN84" s="1" t="s">
        <v>74</v>
      </c>
      <c r="AO84" s="1" t="s">
        <v>1016</v>
      </c>
      <c r="AP84" s="1" t="s">
        <v>1017</v>
      </c>
      <c r="AQ84" s="1" t="s">
        <v>74</v>
      </c>
      <c r="AR84" s="1" t="s">
        <v>74</v>
      </c>
      <c r="AS84" s="1" t="s">
        <v>74</v>
      </c>
      <c r="AT84" s="1" t="s">
        <v>1018</v>
      </c>
      <c r="AU84" s="1">
        <v>2024.0</v>
      </c>
      <c r="AV84" s="1">
        <v>193.0</v>
      </c>
      <c r="AW84" s="1">
        <v>8.0</v>
      </c>
      <c r="AX84" s="1" t="s">
        <v>74</v>
      </c>
      <c r="AY84" s="1" t="s">
        <v>74</v>
      </c>
      <c r="AZ84" s="1" t="s">
        <v>74</v>
      </c>
      <c r="BA84" s="1" t="s">
        <v>74</v>
      </c>
      <c r="BB84" s="1">
        <v>1197.0</v>
      </c>
      <c r="BC84" s="1">
        <v>1202.0</v>
      </c>
      <c r="BD84" s="1" t="s">
        <v>74</v>
      </c>
      <c r="BE84" s="1" t="s">
        <v>1019</v>
      </c>
      <c r="BF84" s="2" t="str">
        <f>HYPERLINK("http://dx.doi.org/10.1093/aje/kwae027","http://dx.doi.org/10.1093/aje/kwae027")</f>
        <v>http://dx.doi.org/10.1093/aje/kwae027</v>
      </c>
      <c r="BG84" s="1" t="s">
        <v>74</v>
      </c>
      <c r="BH84" s="1" t="s">
        <v>371</v>
      </c>
      <c r="BI84" s="1" t="s">
        <v>74</v>
      </c>
      <c r="BJ84" s="1" t="s">
        <v>74</v>
      </c>
      <c r="BK84" s="1" t="s">
        <v>74</v>
      </c>
      <c r="BL84" s="1" t="s">
        <v>74</v>
      </c>
      <c r="BM84" s="1" t="s">
        <v>74</v>
      </c>
      <c r="BN84" s="1">
        <v>3.8576158E7</v>
      </c>
      <c r="BO84" s="1" t="s">
        <v>74</v>
      </c>
      <c r="BP84" s="1" t="s">
        <v>74</v>
      </c>
      <c r="BQ84" s="1" t="s">
        <v>74</v>
      </c>
      <c r="BR84" s="1" t="s">
        <v>74</v>
      </c>
      <c r="BS84" s="1" t="s">
        <v>1020</v>
      </c>
      <c r="BT84" s="1" t="str">
        <f>HYPERLINK("https%3A%2F%2Fwww.webofscience.com%2Fwos%2Fwoscc%2Ffull-record%2FWOS:001255379400001","View Full Record in Web of Science")</f>
        <v>View Full Record in Web of Science</v>
      </c>
    </row>
    <row r="85" ht="12.75" customHeight="1">
      <c r="A85" s="1" t="s">
        <v>72</v>
      </c>
      <c r="B85" s="1" t="s">
        <v>1021</v>
      </c>
      <c r="C85" s="1" t="s">
        <v>74</v>
      </c>
      <c r="D85" s="1" t="s">
        <v>74</v>
      </c>
      <c r="E85" s="1" t="s">
        <v>74</v>
      </c>
      <c r="F85" s="1" t="s">
        <v>1022</v>
      </c>
      <c r="G85" s="1" t="s">
        <v>74</v>
      </c>
      <c r="H85" s="1" t="s">
        <v>74</v>
      </c>
      <c r="I85" s="1" t="s">
        <v>1023</v>
      </c>
      <c r="J85" s="1" t="s">
        <v>1024</v>
      </c>
      <c r="K85" s="1" t="s">
        <v>74</v>
      </c>
      <c r="L85" s="1" t="s">
        <v>74</v>
      </c>
      <c r="M85" s="1" t="s">
        <v>74</v>
      </c>
      <c r="N85" s="1" t="s">
        <v>74</v>
      </c>
      <c r="O85" s="1" t="s">
        <v>74</v>
      </c>
      <c r="P85" s="1" t="s">
        <v>74</v>
      </c>
      <c r="Q85" s="1" t="s">
        <v>74</v>
      </c>
      <c r="R85" s="1" t="s">
        <v>74</v>
      </c>
      <c r="S85" s="1" t="s">
        <v>74</v>
      </c>
      <c r="T85" s="1" t="s">
        <v>74</v>
      </c>
      <c r="U85" s="1" t="s">
        <v>74</v>
      </c>
      <c r="V85" s="1" t="s">
        <v>1025</v>
      </c>
      <c r="W85" s="1" t="s">
        <v>74</v>
      </c>
      <c r="X85" s="1" t="s">
        <v>74</v>
      </c>
      <c r="Y85" s="1" t="s">
        <v>74</v>
      </c>
      <c r="Z85" s="1" t="s">
        <v>74</v>
      </c>
      <c r="AA85" s="1" t="s">
        <v>1026</v>
      </c>
      <c r="AB85" s="1" t="s">
        <v>1027</v>
      </c>
      <c r="AC85" s="1" t="s">
        <v>74</v>
      </c>
      <c r="AD85" s="1" t="s">
        <v>74</v>
      </c>
      <c r="AE85" s="1" t="s">
        <v>74</v>
      </c>
      <c r="AF85" s="1" t="s">
        <v>74</v>
      </c>
      <c r="AG85" s="1" t="s">
        <v>74</v>
      </c>
      <c r="AH85" s="1" t="s">
        <v>74</v>
      </c>
      <c r="AI85" s="1" t="s">
        <v>74</v>
      </c>
      <c r="AJ85" s="1" t="s">
        <v>74</v>
      </c>
      <c r="AK85" s="1" t="s">
        <v>74</v>
      </c>
      <c r="AL85" s="1" t="s">
        <v>74</v>
      </c>
      <c r="AM85" s="1" t="s">
        <v>74</v>
      </c>
      <c r="AN85" s="1" t="s">
        <v>74</v>
      </c>
      <c r="AO85" s="1" t="s">
        <v>1028</v>
      </c>
      <c r="AP85" s="1" t="s">
        <v>1029</v>
      </c>
      <c r="AQ85" s="1" t="s">
        <v>74</v>
      </c>
      <c r="AR85" s="1" t="s">
        <v>74</v>
      </c>
      <c r="AS85" s="1" t="s">
        <v>74</v>
      </c>
      <c r="AT85" s="1" t="s">
        <v>1030</v>
      </c>
      <c r="AU85" s="1">
        <v>2023.0</v>
      </c>
      <c r="AV85" s="1">
        <v>522.0</v>
      </c>
      <c r="AW85" s="1">
        <v>4.0</v>
      </c>
      <c r="AX85" s="1" t="s">
        <v>74</v>
      </c>
      <c r="AY85" s="1" t="s">
        <v>74</v>
      </c>
      <c r="AZ85" s="1" t="s">
        <v>74</v>
      </c>
      <c r="BA85" s="1" t="s">
        <v>74</v>
      </c>
      <c r="BB85" s="1">
        <v>5469.0</v>
      </c>
      <c r="BC85" s="1">
        <v>5478.0</v>
      </c>
      <c r="BD85" s="1" t="s">
        <v>74</v>
      </c>
      <c r="BE85" s="1" t="s">
        <v>1031</v>
      </c>
      <c r="BF85" s="2" t="str">
        <f>HYPERLINK("http://dx.doi.org/10.1093/mnras/stad1335","http://dx.doi.org/10.1093/mnras/stad1335")</f>
        <v>http://dx.doi.org/10.1093/mnras/stad1335</v>
      </c>
      <c r="BG85" s="1" t="s">
        <v>74</v>
      </c>
      <c r="BH85" s="1" t="s">
        <v>835</v>
      </c>
      <c r="BI85" s="1" t="s">
        <v>74</v>
      </c>
      <c r="BJ85" s="1" t="s">
        <v>74</v>
      </c>
      <c r="BK85" s="1" t="s">
        <v>74</v>
      </c>
      <c r="BL85" s="1" t="s">
        <v>74</v>
      </c>
      <c r="BM85" s="1" t="s">
        <v>74</v>
      </c>
      <c r="BN85" s="1" t="s">
        <v>74</v>
      </c>
      <c r="BO85" s="1" t="s">
        <v>74</v>
      </c>
      <c r="BP85" s="1" t="s">
        <v>74</v>
      </c>
      <c r="BQ85" s="1" t="s">
        <v>74</v>
      </c>
      <c r="BR85" s="1" t="s">
        <v>74</v>
      </c>
      <c r="BS85" s="1" t="s">
        <v>1032</v>
      </c>
      <c r="BT85" s="1" t="str">
        <f>HYPERLINK("https%3A%2F%2Fwww.webofscience.com%2Fwos%2Fwoscc%2Ffull-record%2FWOS:000999221000016","View Full Record in Web of Science")</f>
        <v>View Full Record in Web of Science</v>
      </c>
    </row>
    <row r="86" ht="12.75" customHeight="1">
      <c r="A86" s="1" t="s">
        <v>72</v>
      </c>
      <c r="B86" s="1" t="s">
        <v>1033</v>
      </c>
      <c r="C86" s="1" t="s">
        <v>74</v>
      </c>
      <c r="D86" s="1" t="s">
        <v>74</v>
      </c>
      <c r="E86" s="1" t="s">
        <v>74</v>
      </c>
      <c r="F86" s="1" t="s">
        <v>1034</v>
      </c>
      <c r="G86" s="1" t="s">
        <v>74</v>
      </c>
      <c r="H86" s="1" t="s">
        <v>74</v>
      </c>
      <c r="I86" s="1" t="s">
        <v>1035</v>
      </c>
      <c r="J86" s="1" t="s">
        <v>480</v>
      </c>
      <c r="K86" s="1" t="s">
        <v>74</v>
      </c>
      <c r="L86" s="1" t="s">
        <v>74</v>
      </c>
      <c r="M86" s="1" t="s">
        <v>74</v>
      </c>
      <c r="N86" s="1" t="s">
        <v>74</v>
      </c>
      <c r="O86" s="1" t="s">
        <v>74</v>
      </c>
      <c r="P86" s="1" t="s">
        <v>74</v>
      </c>
      <c r="Q86" s="1" t="s">
        <v>74</v>
      </c>
      <c r="R86" s="1" t="s">
        <v>74</v>
      </c>
      <c r="S86" s="1" t="s">
        <v>74</v>
      </c>
      <c r="T86" s="1" t="s">
        <v>74</v>
      </c>
      <c r="U86" s="1" t="s">
        <v>74</v>
      </c>
      <c r="V86" s="1" t="s">
        <v>1036</v>
      </c>
      <c r="W86" s="1" t="s">
        <v>74</v>
      </c>
      <c r="X86" s="1" t="s">
        <v>74</v>
      </c>
      <c r="Y86" s="1" t="s">
        <v>74</v>
      </c>
      <c r="Z86" s="1" t="s">
        <v>74</v>
      </c>
      <c r="AA86" s="1" t="s">
        <v>1037</v>
      </c>
      <c r="AB86" s="1" t="s">
        <v>1038</v>
      </c>
      <c r="AC86" s="1" t="s">
        <v>74</v>
      </c>
      <c r="AD86" s="1" t="s">
        <v>74</v>
      </c>
      <c r="AE86" s="1" t="s">
        <v>74</v>
      </c>
      <c r="AF86" s="1" t="s">
        <v>74</v>
      </c>
      <c r="AG86" s="1" t="s">
        <v>74</v>
      </c>
      <c r="AH86" s="1" t="s">
        <v>74</v>
      </c>
      <c r="AI86" s="1" t="s">
        <v>74</v>
      </c>
      <c r="AJ86" s="1" t="s">
        <v>74</v>
      </c>
      <c r="AK86" s="1" t="s">
        <v>74</v>
      </c>
      <c r="AL86" s="1" t="s">
        <v>74</v>
      </c>
      <c r="AM86" s="1" t="s">
        <v>74</v>
      </c>
      <c r="AN86" s="1" t="s">
        <v>74</v>
      </c>
      <c r="AO86" s="1" t="s">
        <v>484</v>
      </c>
      <c r="AP86" s="1" t="s">
        <v>74</v>
      </c>
      <c r="AQ86" s="1" t="s">
        <v>74</v>
      </c>
      <c r="AR86" s="1" t="s">
        <v>74</v>
      </c>
      <c r="AS86" s="1" t="s">
        <v>74</v>
      </c>
      <c r="AT86" s="1" t="s">
        <v>1039</v>
      </c>
      <c r="AU86" s="1">
        <v>2021.0</v>
      </c>
      <c r="AV86" s="1">
        <v>11.0</v>
      </c>
      <c r="AW86" s="1">
        <v>1.0</v>
      </c>
      <c r="AX86" s="1" t="s">
        <v>74</v>
      </c>
      <c r="AY86" s="1" t="s">
        <v>74</v>
      </c>
      <c r="AZ86" s="1" t="s">
        <v>74</v>
      </c>
      <c r="BA86" s="1" t="s">
        <v>74</v>
      </c>
      <c r="BB86" s="1" t="s">
        <v>74</v>
      </c>
      <c r="BC86" s="1" t="s">
        <v>74</v>
      </c>
      <c r="BD86" s="1">
        <v>21702.0</v>
      </c>
      <c r="BE86" s="1" t="s">
        <v>1040</v>
      </c>
      <c r="BF86" s="2" t="str">
        <f>HYPERLINK("http://dx.doi.org/10.1038/s41598-021-01167-9","http://dx.doi.org/10.1038/s41598-021-01167-9")</f>
        <v>http://dx.doi.org/10.1038/s41598-021-01167-9</v>
      </c>
      <c r="BG86" s="1" t="s">
        <v>74</v>
      </c>
      <c r="BH86" s="1" t="s">
        <v>74</v>
      </c>
      <c r="BI86" s="1" t="s">
        <v>74</v>
      </c>
      <c r="BJ86" s="1" t="s">
        <v>74</v>
      </c>
      <c r="BK86" s="1" t="s">
        <v>74</v>
      </c>
      <c r="BL86" s="1" t="s">
        <v>74</v>
      </c>
      <c r="BM86" s="1" t="s">
        <v>74</v>
      </c>
      <c r="BN86" s="1">
        <v>3.4737379E7</v>
      </c>
      <c r="BO86" s="1" t="s">
        <v>74</v>
      </c>
      <c r="BP86" s="1" t="s">
        <v>74</v>
      </c>
      <c r="BQ86" s="1" t="s">
        <v>74</v>
      </c>
      <c r="BR86" s="1" t="s">
        <v>74</v>
      </c>
      <c r="BS86" s="1" t="s">
        <v>1041</v>
      </c>
      <c r="BT86" s="1" t="str">
        <f>HYPERLINK("https%3A%2F%2Fwww.webofscience.com%2Fwos%2Fwoscc%2Ffull-record%2FWOS:000714702000058","View Full Record in Web of Science")</f>
        <v>View Full Record in Web of Science</v>
      </c>
    </row>
    <row r="87" ht="12.75" customHeight="1">
      <c r="A87" s="1" t="s">
        <v>72</v>
      </c>
      <c r="B87" s="1" t="s">
        <v>1042</v>
      </c>
      <c r="C87" s="1" t="s">
        <v>74</v>
      </c>
      <c r="D87" s="1" t="s">
        <v>74</v>
      </c>
      <c r="E87" s="1" t="s">
        <v>74</v>
      </c>
      <c r="F87" s="1" t="s">
        <v>1043</v>
      </c>
      <c r="G87" s="1" t="s">
        <v>74</v>
      </c>
      <c r="H87" s="1" t="s">
        <v>74</v>
      </c>
      <c r="I87" s="1" t="s">
        <v>1044</v>
      </c>
      <c r="J87" s="1" t="s">
        <v>1045</v>
      </c>
      <c r="K87" s="1" t="s">
        <v>74</v>
      </c>
      <c r="L87" s="1" t="s">
        <v>74</v>
      </c>
      <c r="M87" s="1" t="s">
        <v>74</v>
      </c>
      <c r="N87" s="1" t="s">
        <v>74</v>
      </c>
      <c r="O87" s="1" t="s">
        <v>74</v>
      </c>
      <c r="P87" s="1" t="s">
        <v>74</v>
      </c>
      <c r="Q87" s="1" t="s">
        <v>74</v>
      </c>
      <c r="R87" s="1" t="s">
        <v>74</v>
      </c>
      <c r="S87" s="1" t="s">
        <v>74</v>
      </c>
      <c r="T87" s="1" t="s">
        <v>74</v>
      </c>
      <c r="U87" s="1" t="s">
        <v>74</v>
      </c>
      <c r="V87" s="1" t="s">
        <v>1046</v>
      </c>
      <c r="W87" s="1" t="s">
        <v>74</v>
      </c>
      <c r="X87" s="1" t="s">
        <v>74</v>
      </c>
      <c r="Y87" s="1" t="s">
        <v>74</v>
      </c>
      <c r="Z87" s="1" t="s">
        <v>74</v>
      </c>
      <c r="AA87" s="1" t="s">
        <v>1047</v>
      </c>
      <c r="AB87" s="1" t="s">
        <v>1048</v>
      </c>
      <c r="AC87" s="1" t="s">
        <v>74</v>
      </c>
      <c r="AD87" s="1" t="s">
        <v>74</v>
      </c>
      <c r="AE87" s="1" t="s">
        <v>74</v>
      </c>
      <c r="AF87" s="1" t="s">
        <v>74</v>
      </c>
      <c r="AG87" s="1" t="s">
        <v>74</v>
      </c>
      <c r="AH87" s="1" t="s">
        <v>74</v>
      </c>
      <c r="AI87" s="1" t="s">
        <v>74</v>
      </c>
      <c r="AJ87" s="1" t="s">
        <v>74</v>
      </c>
      <c r="AK87" s="1" t="s">
        <v>74</v>
      </c>
      <c r="AL87" s="1" t="s">
        <v>74</v>
      </c>
      <c r="AM87" s="1" t="s">
        <v>74</v>
      </c>
      <c r="AN87" s="1" t="s">
        <v>74</v>
      </c>
      <c r="AO87" s="1" t="s">
        <v>1049</v>
      </c>
      <c r="AP87" s="1" t="s">
        <v>1050</v>
      </c>
      <c r="AQ87" s="1" t="s">
        <v>74</v>
      </c>
      <c r="AR87" s="1" t="s">
        <v>74</v>
      </c>
      <c r="AS87" s="1" t="s">
        <v>74</v>
      </c>
      <c r="AT87" s="1" t="s">
        <v>1051</v>
      </c>
      <c r="AU87" s="1">
        <v>2021.0</v>
      </c>
      <c r="AV87" s="1">
        <v>284.0</v>
      </c>
      <c r="AW87" s="1" t="s">
        <v>74</v>
      </c>
      <c r="AX87" s="1" t="s">
        <v>74</v>
      </c>
      <c r="AY87" s="1" t="s">
        <v>74</v>
      </c>
      <c r="AZ87" s="1" t="s">
        <v>74</v>
      </c>
      <c r="BA87" s="1" t="s">
        <v>74</v>
      </c>
      <c r="BB87" s="1" t="s">
        <v>74</v>
      </c>
      <c r="BC87" s="1" t="s">
        <v>74</v>
      </c>
      <c r="BD87" s="1">
        <v>122749.0</v>
      </c>
      <c r="BE87" s="1" t="s">
        <v>1052</v>
      </c>
      <c r="BF87" s="2" t="str">
        <f>HYPERLINK("http://dx.doi.org/10.1016/j.conbuildmat.2021.122749","http://dx.doi.org/10.1016/j.conbuildmat.2021.122749")</f>
        <v>http://dx.doi.org/10.1016/j.conbuildmat.2021.122749</v>
      </c>
      <c r="BG87" s="1" t="s">
        <v>74</v>
      </c>
      <c r="BH87" s="1" t="s">
        <v>254</v>
      </c>
      <c r="BI87" s="1" t="s">
        <v>74</v>
      </c>
      <c r="BJ87" s="1" t="s">
        <v>74</v>
      </c>
      <c r="BK87" s="1" t="s">
        <v>74</v>
      </c>
      <c r="BL87" s="1" t="s">
        <v>74</v>
      </c>
      <c r="BM87" s="1" t="s">
        <v>74</v>
      </c>
      <c r="BN87" s="1" t="s">
        <v>74</v>
      </c>
      <c r="BO87" s="1" t="s">
        <v>74</v>
      </c>
      <c r="BP87" s="1" t="s">
        <v>74</v>
      </c>
      <c r="BQ87" s="1" t="s">
        <v>74</v>
      </c>
      <c r="BR87" s="1" t="s">
        <v>74</v>
      </c>
      <c r="BS87" s="1" t="s">
        <v>1053</v>
      </c>
      <c r="BT87" s="1" t="str">
        <f>HYPERLINK("https%3A%2F%2Fwww.webofscience.com%2Fwos%2Fwoscc%2Ffull-record%2FWOS:000644070300003","View Full Record in Web of Science")</f>
        <v>View Full Record in Web of Science</v>
      </c>
    </row>
    <row r="88" ht="12.75" customHeight="1">
      <c r="A88" s="1" t="s">
        <v>72</v>
      </c>
      <c r="B88" s="1" t="s">
        <v>1054</v>
      </c>
      <c r="C88" s="1" t="s">
        <v>74</v>
      </c>
      <c r="D88" s="1" t="s">
        <v>74</v>
      </c>
      <c r="E88" s="1" t="s">
        <v>74</v>
      </c>
      <c r="F88" s="1" t="s">
        <v>1055</v>
      </c>
      <c r="G88" s="1" t="s">
        <v>74</v>
      </c>
      <c r="H88" s="1" t="s">
        <v>74</v>
      </c>
      <c r="I88" s="1" t="s">
        <v>1056</v>
      </c>
      <c r="J88" s="1" t="s">
        <v>1057</v>
      </c>
      <c r="K88" s="1" t="s">
        <v>74</v>
      </c>
      <c r="L88" s="1" t="s">
        <v>74</v>
      </c>
      <c r="M88" s="1" t="s">
        <v>74</v>
      </c>
      <c r="N88" s="1" t="s">
        <v>74</v>
      </c>
      <c r="O88" s="1" t="s">
        <v>74</v>
      </c>
      <c r="P88" s="1" t="s">
        <v>74</v>
      </c>
      <c r="Q88" s="1" t="s">
        <v>74</v>
      </c>
      <c r="R88" s="1" t="s">
        <v>74</v>
      </c>
      <c r="S88" s="1" t="s">
        <v>74</v>
      </c>
      <c r="T88" s="1" t="s">
        <v>74</v>
      </c>
      <c r="U88" s="1" t="s">
        <v>74</v>
      </c>
      <c r="V88" s="1" t="s">
        <v>1058</v>
      </c>
      <c r="W88" s="1" t="s">
        <v>74</v>
      </c>
      <c r="X88" s="1" t="s">
        <v>74</v>
      </c>
      <c r="Y88" s="1" t="s">
        <v>74</v>
      </c>
      <c r="Z88" s="1" t="s">
        <v>74</v>
      </c>
      <c r="AA88" s="1" t="s">
        <v>1059</v>
      </c>
      <c r="AB88" s="1" t="s">
        <v>1060</v>
      </c>
      <c r="AC88" s="1" t="s">
        <v>74</v>
      </c>
      <c r="AD88" s="1" t="s">
        <v>74</v>
      </c>
      <c r="AE88" s="1" t="s">
        <v>74</v>
      </c>
      <c r="AF88" s="1" t="s">
        <v>74</v>
      </c>
      <c r="AG88" s="1" t="s">
        <v>74</v>
      </c>
      <c r="AH88" s="1" t="s">
        <v>74</v>
      </c>
      <c r="AI88" s="1" t="s">
        <v>74</v>
      </c>
      <c r="AJ88" s="1" t="s">
        <v>74</v>
      </c>
      <c r="AK88" s="1" t="s">
        <v>74</v>
      </c>
      <c r="AL88" s="1" t="s">
        <v>74</v>
      </c>
      <c r="AM88" s="1" t="s">
        <v>74</v>
      </c>
      <c r="AN88" s="1" t="s">
        <v>74</v>
      </c>
      <c r="AO88" s="1" t="s">
        <v>74</v>
      </c>
      <c r="AP88" s="1" t="s">
        <v>1061</v>
      </c>
      <c r="AQ88" s="1" t="s">
        <v>74</v>
      </c>
      <c r="AR88" s="1" t="s">
        <v>74</v>
      </c>
      <c r="AS88" s="1" t="s">
        <v>74</v>
      </c>
      <c r="AT88" s="1" t="s">
        <v>346</v>
      </c>
      <c r="AU88" s="1">
        <v>2017.0</v>
      </c>
      <c r="AV88" s="1">
        <v>14.0</v>
      </c>
      <c r="AW88" s="1">
        <v>3.0</v>
      </c>
      <c r="AX88" s="1" t="s">
        <v>74</v>
      </c>
      <c r="AY88" s="1" t="s">
        <v>74</v>
      </c>
      <c r="AZ88" s="1" t="s">
        <v>74</v>
      </c>
      <c r="BA88" s="1" t="s">
        <v>74</v>
      </c>
      <c r="BB88" s="1" t="s">
        <v>74</v>
      </c>
      <c r="BC88" s="1" t="s">
        <v>74</v>
      </c>
      <c r="BD88" s="1">
        <v>233.0</v>
      </c>
      <c r="BE88" s="1" t="s">
        <v>1062</v>
      </c>
      <c r="BF88" s="2" t="str">
        <f>HYPERLINK("http://dx.doi.org/10.3390/ijerph14030233","http://dx.doi.org/10.3390/ijerph14030233")</f>
        <v>http://dx.doi.org/10.3390/ijerph14030233</v>
      </c>
      <c r="BG88" s="1" t="s">
        <v>74</v>
      </c>
      <c r="BH88" s="1" t="s">
        <v>74</v>
      </c>
      <c r="BI88" s="1" t="s">
        <v>74</v>
      </c>
      <c r="BJ88" s="1" t="s">
        <v>74</v>
      </c>
      <c r="BK88" s="1" t="s">
        <v>74</v>
      </c>
      <c r="BL88" s="1" t="s">
        <v>74</v>
      </c>
      <c r="BM88" s="1" t="s">
        <v>74</v>
      </c>
      <c r="BN88" s="1">
        <v>2.8264459E7</v>
      </c>
      <c r="BO88" s="1" t="s">
        <v>74</v>
      </c>
      <c r="BP88" s="1" t="s">
        <v>74</v>
      </c>
      <c r="BQ88" s="1" t="s">
        <v>74</v>
      </c>
      <c r="BR88" s="1" t="s">
        <v>74</v>
      </c>
      <c r="BS88" s="1" t="s">
        <v>1063</v>
      </c>
      <c r="BT88" s="1" t="str">
        <f>HYPERLINK("https%3A%2F%2Fwww.webofscience.com%2Fwos%2Fwoscc%2Ffull-record%2FWOS:000398524100016","View Full Record in Web of Science")</f>
        <v>View Full Record in Web of Science</v>
      </c>
    </row>
    <row r="89" ht="12.75" customHeight="1">
      <c r="A89" s="1" t="s">
        <v>72</v>
      </c>
      <c r="B89" s="1" t="s">
        <v>1064</v>
      </c>
      <c r="C89" s="1" t="s">
        <v>74</v>
      </c>
      <c r="D89" s="1" t="s">
        <v>74</v>
      </c>
      <c r="E89" s="1" t="s">
        <v>74</v>
      </c>
      <c r="F89" s="1" t="s">
        <v>1065</v>
      </c>
      <c r="G89" s="1" t="s">
        <v>74</v>
      </c>
      <c r="H89" s="1" t="s">
        <v>74</v>
      </c>
      <c r="I89" s="1" t="s">
        <v>1066</v>
      </c>
      <c r="J89" s="1" t="s">
        <v>1067</v>
      </c>
      <c r="K89" s="1" t="s">
        <v>74</v>
      </c>
      <c r="L89" s="1" t="s">
        <v>74</v>
      </c>
      <c r="M89" s="1" t="s">
        <v>74</v>
      </c>
      <c r="N89" s="1" t="s">
        <v>74</v>
      </c>
      <c r="O89" s="1" t="s">
        <v>74</v>
      </c>
      <c r="P89" s="1" t="s">
        <v>74</v>
      </c>
      <c r="Q89" s="1" t="s">
        <v>74</v>
      </c>
      <c r="R89" s="1" t="s">
        <v>74</v>
      </c>
      <c r="S89" s="1" t="s">
        <v>74</v>
      </c>
      <c r="T89" s="1" t="s">
        <v>74</v>
      </c>
      <c r="U89" s="1" t="s">
        <v>74</v>
      </c>
      <c r="V89" s="1" t="s">
        <v>1068</v>
      </c>
      <c r="W89" s="1" t="s">
        <v>74</v>
      </c>
      <c r="X89" s="1" t="s">
        <v>74</v>
      </c>
      <c r="Y89" s="1" t="s">
        <v>74</v>
      </c>
      <c r="Z89" s="1" t="s">
        <v>74</v>
      </c>
      <c r="AA89" s="1" t="s">
        <v>1069</v>
      </c>
      <c r="AB89" s="1" t="s">
        <v>1070</v>
      </c>
      <c r="AC89" s="1" t="s">
        <v>74</v>
      </c>
      <c r="AD89" s="1" t="s">
        <v>74</v>
      </c>
      <c r="AE89" s="1" t="s">
        <v>74</v>
      </c>
      <c r="AF89" s="1" t="s">
        <v>74</v>
      </c>
      <c r="AG89" s="1" t="s">
        <v>74</v>
      </c>
      <c r="AH89" s="1" t="s">
        <v>74</v>
      </c>
      <c r="AI89" s="1" t="s">
        <v>74</v>
      </c>
      <c r="AJ89" s="1" t="s">
        <v>74</v>
      </c>
      <c r="AK89" s="1" t="s">
        <v>74</v>
      </c>
      <c r="AL89" s="1" t="s">
        <v>74</v>
      </c>
      <c r="AM89" s="1" t="s">
        <v>74</v>
      </c>
      <c r="AN89" s="1" t="s">
        <v>74</v>
      </c>
      <c r="AO89" s="1" t="s">
        <v>1071</v>
      </c>
      <c r="AP89" s="1" t="s">
        <v>1072</v>
      </c>
      <c r="AQ89" s="1" t="s">
        <v>74</v>
      </c>
      <c r="AR89" s="1" t="s">
        <v>74</v>
      </c>
      <c r="AS89" s="1" t="s">
        <v>74</v>
      </c>
      <c r="AT89" s="1" t="s">
        <v>312</v>
      </c>
      <c r="AU89" s="1">
        <v>2024.0</v>
      </c>
      <c r="AV89" s="1">
        <v>593.0</v>
      </c>
      <c r="AW89" s="1" t="s">
        <v>74</v>
      </c>
      <c r="AX89" s="1" t="s">
        <v>74</v>
      </c>
      <c r="AY89" s="1" t="s">
        <v>74</v>
      </c>
      <c r="AZ89" s="1" t="s">
        <v>74</v>
      </c>
      <c r="BA89" s="1" t="s">
        <v>74</v>
      </c>
      <c r="BB89" s="1" t="s">
        <v>74</v>
      </c>
      <c r="BC89" s="1" t="s">
        <v>74</v>
      </c>
      <c r="BD89" s="1">
        <v>741284.0</v>
      </c>
      <c r="BE89" s="1" t="s">
        <v>1073</v>
      </c>
      <c r="BF89" s="2" t="str">
        <f>HYPERLINK("http://dx.doi.org/10.1016/j.aquaculture.2024.741284","http://dx.doi.org/10.1016/j.aquaculture.2024.741284")</f>
        <v>http://dx.doi.org/10.1016/j.aquaculture.2024.741284</v>
      </c>
      <c r="BG89" s="1" t="s">
        <v>74</v>
      </c>
      <c r="BH89" s="1" t="s">
        <v>689</v>
      </c>
      <c r="BI89" s="1" t="s">
        <v>74</v>
      </c>
      <c r="BJ89" s="1" t="s">
        <v>74</v>
      </c>
      <c r="BK89" s="1" t="s">
        <v>74</v>
      </c>
      <c r="BL89" s="1" t="s">
        <v>74</v>
      </c>
      <c r="BM89" s="1" t="s">
        <v>74</v>
      </c>
      <c r="BN89" s="1" t="s">
        <v>74</v>
      </c>
      <c r="BO89" s="1" t="s">
        <v>74</v>
      </c>
      <c r="BP89" s="1" t="s">
        <v>74</v>
      </c>
      <c r="BQ89" s="1" t="s">
        <v>74</v>
      </c>
      <c r="BR89" s="1" t="s">
        <v>74</v>
      </c>
      <c r="BS89" s="1" t="s">
        <v>1074</v>
      </c>
      <c r="BT89" s="1" t="str">
        <f>HYPERLINK("https%3A%2F%2Fwww.webofscience.com%2Fwos%2Fwoscc%2Ffull-record%2FWOS:001265439100001","View Full Record in Web of Science")</f>
        <v>View Full Record in Web of Science</v>
      </c>
    </row>
    <row r="90" ht="12.75" customHeight="1">
      <c r="A90" s="1" t="s">
        <v>72</v>
      </c>
      <c r="B90" s="1" t="s">
        <v>1075</v>
      </c>
      <c r="C90" s="1" t="s">
        <v>74</v>
      </c>
      <c r="D90" s="1" t="s">
        <v>74</v>
      </c>
      <c r="E90" s="1" t="s">
        <v>74</v>
      </c>
      <c r="F90" s="1" t="s">
        <v>1076</v>
      </c>
      <c r="G90" s="1" t="s">
        <v>74</v>
      </c>
      <c r="H90" s="1" t="s">
        <v>74</v>
      </c>
      <c r="I90" s="1" t="s">
        <v>1077</v>
      </c>
      <c r="J90" s="1" t="s">
        <v>1078</v>
      </c>
      <c r="K90" s="1" t="s">
        <v>74</v>
      </c>
      <c r="L90" s="1" t="s">
        <v>74</v>
      </c>
      <c r="M90" s="1" t="s">
        <v>74</v>
      </c>
      <c r="N90" s="1" t="s">
        <v>74</v>
      </c>
      <c r="O90" s="1" t="s">
        <v>74</v>
      </c>
      <c r="P90" s="1" t="s">
        <v>74</v>
      </c>
      <c r="Q90" s="1" t="s">
        <v>74</v>
      </c>
      <c r="R90" s="1" t="s">
        <v>74</v>
      </c>
      <c r="S90" s="1" t="s">
        <v>74</v>
      </c>
      <c r="T90" s="1" t="s">
        <v>74</v>
      </c>
      <c r="U90" s="1" t="s">
        <v>74</v>
      </c>
      <c r="V90" s="1" t="s">
        <v>1079</v>
      </c>
      <c r="W90" s="1" t="s">
        <v>74</v>
      </c>
      <c r="X90" s="1" t="s">
        <v>74</v>
      </c>
      <c r="Y90" s="1" t="s">
        <v>74</v>
      </c>
      <c r="Z90" s="1" t="s">
        <v>74</v>
      </c>
      <c r="AA90" s="1" t="s">
        <v>1080</v>
      </c>
      <c r="AB90" s="1" t="s">
        <v>1081</v>
      </c>
      <c r="AC90" s="1" t="s">
        <v>74</v>
      </c>
      <c r="AD90" s="1" t="s">
        <v>74</v>
      </c>
      <c r="AE90" s="1" t="s">
        <v>74</v>
      </c>
      <c r="AF90" s="1" t="s">
        <v>74</v>
      </c>
      <c r="AG90" s="1" t="s">
        <v>74</v>
      </c>
      <c r="AH90" s="1" t="s">
        <v>74</v>
      </c>
      <c r="AI90" s="1" t="s">
        <v>74</v>
      </c>
      <c r="AJ90" s="1" t="s">
        <v>74</v>
      </c>
      <c r="AK90" s="1" t="s">
        <v>74</v>
      </c>
      <c r="AL90" s="1" t="s">
        <v>74</v>
      </c>
      <c r="AM90" s="1" t="s">
        <v>74</v>
      </c>
      <c r="AN90" s="1" t="s">
        <v>74</v>
      </c>
      <c r="AO90" s="1" t="s">
        <v>1082</v>
      </c>
      <c r="AP90" s="1" t="s">
        <v>1083</v>
      </c>
      <c r="AQ90" s="1" t="s">
        <v>74</v>
      </c>
      <c r="AR90" s="1" t="s">
        <v>74</v>
      </c>
      <c r="AS90" s="1" t="s">
        <v>74</v>
      </c>
      <c r="AT90" s="1" t="s">
        <v>1084</v>
      </c>
      <c r="AU90" s="1">
        <v>2023.0</v>
      </c>
      <c r="AV90" s="1">
        <v>26.0</v>
      </c>
      <c r="AW90" s="1">
        <v>3.0</v>
      </c>
      <c r="AX90" s="1" t="s">
        <v>74</v>
      </c>
      <c r="AY90" s="1" t="s">
        <v>74</v>
      </c>
      <c r="AZ90" s="1" t="s">
        <v>74</v>
      </c>
      <c r="BA90" s="1" t="s">
        <v>74</v>
      </c>
      <c r="BB90" s="1">
        <v>377.0</v>
      </c>
      <c r="BC90" s="1">
        <v>386.0</v>
      </c>
      <c r="BD90" s="1" t="s">
        <v>74</v>
      </c>
      <c r="BE90" s="1" t="s">
        <v>1085</v>
      </c>
      <c r="BF90" s="2" t="str">
        <f>HYPERLINK("http://dx.doi.org/10.5209/rpub.92235","http://dx.doi.org/10.5209/rpub.92235")</f>
        <v>http://dx.doi.org/10.5209/rpub.92235</v>
      </c>
      <c r="BG90" s="1" t="s">
        <v>74</v>
      </c>
      <c r="BH90" s="1" t="s">
        <v>74</v>
      </c>
      <c r="BI90" s="1" t="s">
        <v>74</v>
      </c>
      <c r="BJ90" s="1" t="s">
        <v>74</v>
      </c>
      <c r="BK90" s="1" t="s">
        <v>74</v>
      </c>
      <c r="BL90" s="1" t="s">
        <v>74</v>
      </c>
      <c r="BM90" s="1" t="s">
        <v>74</v>
      </c>
      <c r="BN90" s="1" t="s">
        <v>74</v>
      </c>
      <c r="BO90" s="1" t="s">
        <v>74</v>
      </c>
      <c r="BP90" s="1" t="s">
        <v>74</v>
      </c>
      <c r="BQ90" s="1" t="s">
        <v>74</v>
      </c>
      <c r="BR90" s="1" t="s">
        <v>74</v>
      </c>
      <c r="BS90" s="1" t="s">
        <v>1086</v>
      </c>
      <c r="BT90" s="1" t="str">
        <f>HYPERLINK("https%3A%2F%2Fwww.webofscience.com%2Fwos%2Fwoscc%2Ffull-record%2FWOS:001178380700014","View Full Record in Web of Science")</f>
        <v>View Full Record in Web of Science</v>
      </c>
    </row>
    <row r="91" ht="12.75" customHeight="1">
      <c r="A91" s="1" t="s">
        <v>72</v>
      </c>
      <c r="B91" s="1" t="s">
        <v>1087</v>
      </c>
      <c r="C91" s="1" t="s">
        <v>74</v>
      </c>
      <c r="D91" s="1" t="s">
        <v>74</v>
      </c>
      <c r="E91" s="1" t="s">
        <v>74</v>
      </c>
      <c r="F91" s="1" t="s">
        <v>1088</v>
      </c>
      <c r="G91" s="1" t="s">
        <v>74</v>
      </c>
      <c r="H91" s="1" t="s">
        <v>74</v>
      </c>
      <c r="I91" s="1" t="s">
        <v>1089</v>
      </c>
      <c r="J91" s="1" t="s">
        <v>1090</v>
      </c>
      <c r="K91" s="1" t="s">
        <v>74</v>
      </c>
      <c r="L91" s="1" t="s">
        <v>74</v>
      </c>
      <c r="M91" s="1" t="s">
        <v>74</v>
      </c>
      <c r="N91" s="1" t="s">
        <v>74</v>
      </c>
      <c r="O91" s="1" t="s">
        <v>74</v>
      </c>
      <c r="P91" s="1" t="s">
        <v>74</v>
      </c>
      <c r="Q91" s="1" t="s">
        <v>74</v>
      </c>
      <c r="R91" s="1" t="s">
        <v>74</v>
      </c>
      <c r="S91" s="1" t="s">
        <v>74</v>
      </c>
      <c r="T91" s="1" t="s">
        <v>74</v>
      </c>
      <c r="U91" s="1" t="s">
        <v>74</v>
      </c>
      <c r="V91" s="1" t="s">
        <v>1091</v>
      </c>
      <c r="W91" s="1" t="s">
        <v>74</v>
      </c>
      <c r="X91" s="1" t="s">
        <v>74</v>
      </c>
      <c r="Y91" s="1" t="s">
        <v>74</v>
      </c>
      <c r="Z91" s="1" t="s">
        <v>74</v>
      </c>
      <c r="AA91" s="1" t="s">
        <v>1092</v>
      </c>
      <c r="AB91" s="1" t="s">
        <v>1093</v>
      </c>
      <c r="AC91" s="1" t="s">
        <v>74</v>
      </c>
      <c r="AD91" s="1" t="s">
        <v>74</v>
      </c>
      <c r="AE91" s="1" t="s">
        <v>74</v>
      </c>
      <c r="AF91" s="1" t="s">
        <v>74</v>
      </c>
      <c r="AG91" s="1" t="s">
        <v>74</v>
      </c>
      <c r="AH91" s="1" t="s">
        <v>74</v>
      </c>
      <c r="AI91" s="1" t="s">
        <v>74</v>
      </c>
      <c r="AJ91" s="1" t="s">
        <v>74</v>
      </c>
      <c r="AK91" s="1" t="s">
        <v>74</v>
      </c>
      <c r="AL91" s="1" t="s">
        <v>74</v>
      </c>
      <c r="AM91" s="1" t="s">
        <v>74</v>
      </c>
      <c r="AN91" s="1" t="s">
        <v>74</v>
      </c>
      <c r="AO91" s="1" t="s">
        <v>1094</v>
      </c>
      <c r="AP91" s="1" t="s">
        <v>1095</v>
      </c>
      <c r="AQ91" s="1" t="s">
        <v>74</v>
      </c>
      <c r="AR91" s="1" t="s">
        <v>74</v>
      </c>
      <c r="AS91" s="1" t="s">
        <v>74</v>
      </c>
      <c r="AT91" s="1" t="s">
        <v>141</v>
      </c>
      <c r="AU91" s="1">
        <v>2017.0</v>
      </c>
      <c r="AV91" s="1">
        <v>188.0</v>
      </c>
      <c r="AW91" s="1" t="s">
        <v>74</v>
      </c>
      <c r="AX91" s="1" t="s">
        <v>74</v>
      </c>
      <c r="AY91" s="1" t="s">
        <v>74</v>
      </c>
      <c r="AZ91" s="1" t="s">
        <v>74</v>
      </c>
      <c r="BA91" s="1" t="s">
        <v>74</v>
      </c>
      <c r="BB91" s="1">
        <v>57.0</v>
      </c>
      <c r="BC91" s="1">
        <v>63.0</v>
      </c>
      <c r="BD91" s="1" t="s">
        <v>74</v>
      </c>
      <c r="BE91" s="1" t="s">
        <v>1096</v>
      </c>
      <c r="BF91" s="2" t="str">
        <f>HYPERLINK("http://dx.doi.org/10.1016/j.jpeds.2017.05.065","http://dx.doi.org/10.1016/j.jpeds.2017.05.065")</f>
        <v>http://dx.doi.org/10.1016/j.jpeds.2017.05.065</v>
      </c>
      <c r="BG91" s="1" t="s">
        <v>74</v>
      </c>
      <c r="BH91" s="1" t="s">
        <v>74</v>
      </c>
      <c r="BI91" s="1" t="s">
        <v>74</v>
      </c>
      <c r="BJ91" s="1" t="s">
        <v>74</v>
      </c>
      <c r="BK91" s="1" t="s">
        <v>74</v>
      </c>
      <c r="BL91" s="1" t="s">
        <v>74</v>
      </c>
      <c r="BM91" s="1" t="s">
        <v>74</v>
      </c>
      <c r="BN91" s="1">
        <v>2.8651798E7</v>
      </c>
      <c r="BO91" s="1" t="s">
        <v>74</v>
      </c>
      <c r="BP91" s="1" t="s">
        <v>74</v>
      </c>
      <c r="BQ91" s="1" t="s">
        <v>74</v>
      </c>
      <c r="BR91" s="1" t="s">
        <v>74</v>
      </c>
      <c r="BS91" s="1" t="s">
        <v>1097</v>
      </c>
      <c r="BT91" s="1" t="str">
        <f>HYPERLINK("https%3A%2F%2Fwww.webofscience.com%2Fwos%2Fwoscc%2Ffull-record%2FWOS:000410641100015","View Full Record in Web of Science")</f>
        <v>View Full Record in Web of Science</v>
      </c>
    </row>
    <row r="92" ht="12.75" customHeight="1">
      <c r="A92" s="1" t="s">
        <v>72</v>
      </c>
      <c r="B92" s="1" t="s">
        <v>1098</v>
      </c>
      <c r="C92" s="1" t="s">
        <v>74</v>
      </c>
      <c r="D92" s="1" t="s">
        <v>74</v>
      </c>
      <c r="E92" s="1" t="s">
        <v>74</v>
      </c>
      <c r="F92" s="1" t="s">
        <v>1099</v>
      </c>
      <c r="G92" s="1" t="s">
        <v>74</v>
      </c>
      <c r="H92" s="1" t="s">
        <v>74</v>
      </c>
      <c r="I92" s="1" t="s">
        <v>1100</v>
      </c>
      <c r="J92" s="1" t="s">
        <v>1101</v>
      </c>
      <c r="K92" s="1" t="s">
        <v>74</v>
      </c>
      <c r="L92" s="1" t="s">
        <v>74</v>
      </c>
      <c r="M92" s="1" t="s">
        <v>74</v>
      </c>
      <c r="N92" s="1" t="s">
        <v>74</v>
      </c>
      <c r="O92" s="1" t="s">
        <v>74</v>
      </c>
      <c r="P92" s="1" t="s">
        <v>74</v>
      </c>
      <c r="Q92" s="1" t="s">
        <v>74</v>
      </c>
      <c r="R92" s="1" t="s">
        <v>74</v>
      </c>
      <c r="S92" s="1" t="s">
        <v>74</v>
      </c>
      <c r="T92" s="1" t="s">
        <v>74</v>
      </c>
      <c r="U92" s="1" t="s">
        <v>74</v>
      </c>
      <c r="V92" s="1" t="s">
        <v>1102</v>
      </c>
      <c r="W92" s="1" t="s">
        <v>74</v>
      </c>
      <c r="X92" s="1" t="s">
        <v>74</v>
      </c>
      <c r="Y92" s="1" t="s">
        <v>74</v>
      </c>
      <c r="Z92" s="1" t="s">
        <v>74</v>
      </c>
      <c r="AA92" s="1" t="s">
        <v>1103</v>
      </c>
      <c r="AB92" s="1" t="s">
        <v>1104</v>
      </c>
      <c r="AC92" s="1" t="s">
        <v>74</v>
      </c>
      <c r="AD92" s="1" t="s">
        <v>74</v>
      </c>
      <c r="AE92" s="1" t="s">
        <v>74</v>
      </c>
      <c r="AF92" s="1" t="s">
        <v>74</v>
      </c>
      <c r="AG92" s="1" t="s">
        <v>74</v>
      </c>
      <c r="AH92" s="1" t="s">
        <v>74</v>
      </c>
      <c r="AI92" s="1" t="s">
        <v>74</v>
      </c>
      <c r="AJ92" s="1" t="s">
        <v>74</v>
      </c>
      <c r="AK92" s="1" t="s">
        <v>74</v>
      </c>
      <c r="AL92" s="1" t="s">
        <v>74</v>
      </c>
      <c r="AM92" s="1" t="s">
        <v>74</v>
      </c>
      <c r="AN92" s="1" t="s">
        <v>74</v>
      </c>
      <c r="AO92" s="1" t="s">
        <v>1105</v>
      </c>
      <c r="AP92" s="1" t="s">
        <v>74</v>
      </c>
      <c r="AQ92" s="1" t="s">
        <v>74</v>
      </c>
      <c r="AR92" s="1" t="s">
        <v>74</v>
      </c>
      <c r="AS92" s="1" t="s">
        <v>74</v>
      </c>
      <c r="AT92" s="1" t="s">
        <v>346</v>
      </c>
      <c r="AU92" s="1">
        <v>2011.0</v>
      </c>
      <c r="AV92" s="1">
        <v>129.0</v>
      </c>
      <c r="AW92" s="1">
        <v>3.0</v>
      </c>
      <c r="AX92" s="1" t="s">
        <v>74</v>
      </c>
      <c r="AY92" s="1" t="s">
        <v>74</v>
      </c>
      <c r="AZ92" s="1" t="s">
        <v>74</v>
      </c>
      <c r="BA92" s="1" t="s">
        <v>74</v>
      </c>
      <c r="BB92" s="1">
        <v>1642.0</v>
      </c>
      <c r="BC92" s="1">
        <v>1652.0</v>
      </c>
      <c r="BD92" s="1" t="s">
        <v>74</v>
      </c>
      <c r="BE92" s="1" t="s">
        <v>1106</v>
      </c>
      <c r="BF92" s="2" t="str">
        <f>HYPERLINK("http://dx.doi.org/10.1121/1.3543966","http://dx.doi.org/10.1121/1.3543966")</f>
        <v>http://dx.doi.org/10.1121/1.3543966</v>
      </c>
      <c r="BG92" s="1" t="s">
        <v>74</v>
      </c>
      <c r="BH92" s="1" t="s">
        <v>74</v>
      </c>
      <c r="BI92" s="1" t="s">
        <v>74</v>
      </c>
      <c r="BJ92" s="1" t="s">
        <v>74</v>
      </c>
      <c r="BK92" s="1" t="s">
        <v>74</v>
      </c>
      <c r="BL92" s="1" t="s">
        <v>74</v>
      </c>
      <c r="BM92" s="1" t="s">
        <v>74</v>
      </c>
      <c r="BN92" s="1">
        <v>2.1428527E7</v>
      </c>
      <c r="BO92" s="1" t="s">
        <v>74</v>
      </c>
      <c r="BP92" s="1" t="s">
        <v>74</v>
      </c>
      <c r="BQ92" s="1" t="s">
        <v>74</v>
      </c>
      <c r="BR92" s="1" t="s">
        <v>74</v>
      </c>
      <c r="BS92" s="1" t="s">
        <v>1107</v>
      </c>
      <c r="BT92" s="1" t="str">
        <f>HYPERLINK("https%3A%2F%2Fwww.webofscience.com%2Fwos%2Fwoscc%2Ffull-record%2FWOS:000289007000060","View Full Record in Web of Science")</f>
        <v>View Full Record in Web of Science</v>
      </c>
    </row>
    <row r="93" ht="12.75" customHeight="1">
      <c r="A93" s="1" t="s">
        <v>72</v>
      </c>
      <c r="B93" s="1" t="s">
        <v>1108</v>
      </c>
      <c r="C93" s="1" t="s">
        <v>74</v>
      </c>
      <c r="D93" s="1" t="s">
        <v>74</v>
      </c>
      <c r="E93" s="1" t="s">
        <v>74</v>
      </c>
      <c r="F93" s="1" t="s">
        <v>1109</v>
      </c>
      <c r="G93" s="1" t="s">
        <v>74</v>
      </c>
      <c r="H93" s="1" t="s">
        <v>74</v>
      </c>
      <c r="I93" s="1" t="s">
        <v>1110</v>
      </c>
      <c r="J93" s="1" t="s">
        <v>617</v>
      </c>
      <c r="K93" s="1" t="s">
        <v>74</v>
      </c>
      <c r="L93" s="1" t="s">
        <v>74</v>
      </c>
      <c r="M93" s="1" t="s">
        <v>74</v>
      </c>
      <c r="N93" s="1" t="s">
        <v>74</v>
      </c>
      <c r="O93" s="1" t="s">
        <v>74</v>
      </c>
      <c r="P93" s="1" t="s">
        <v>74</v>
      </c>
      <c r="Q93" s="1" t="s">
        <v>74</v>
      </c>
      <c r="R93" s="1" t="s">
        <v>74</v>
      </c>
      <c r="S93" s="1" t="s">
        <v>74</v>
      </c>
      <c r="T93" s="1" t="s">
        <v>74</v>
      </c>
      <c r="U93" s="1" t="s">
        <v>74</v>
      </c>
      <c r="V93" s="1" t="s">
        <v>1111</v>
      </c>
      <c r="W93" s="1" t="s">
        <v>74</v>
      </c>
      <c r="X93" s="1" t="s">
        <v>74</v>
      </c>
      <c r="Y93" s="1" t="s">
        <v>74</v>
      </c>
      <c r="Z93" s="1" t="s">
        <v>74</v>
      </c>
      <c r="AA93" s="1" t="s">
        <v>1112</v>
      </c>
      <c r="AB93" s="1" t="s">
        <v>1113</v>
      </c>
      <c r="AC93" s="1" t="s">
        <v>74</v>
      </c>
      <c r="AD93" s="1" t="s">
        <v>74</v>
      </c>
      <c r="AE93" s="1" t="s">
        <v>74</v>
      </c>
      <c r="AF93" s="1" t="s">
        <v>74</v>
      </c>
      <c r="AG93" s="1" t="s">
        <v>74</v>
      </c>
      <c r="AH93" s="1" t="s">
        <v>74</v>
      </c>
      <c r="AI93" s="1" t="s">
        <v>74</v>
      </c>
      <c r="AJ93" s="1" t="s">
        <v>74</v>
      </c>
      <c r="AK93" s="1" t="s">
        <v>74</v>
      </c>
      <c r="AL93" s="1" t="s">
        <v>74</v>
      </c>
      <c r="AM93" s="1" t="s">
        <v>74</v>
      </c>
      <c r="AN93" s="1" t="s">
        <v>74</v>
      </c>
      <c r="AO93" s="1" t="s">
        <v>620</v>
      </c>
      <c r="AP93" s="1" t="s">
        <v>621</v>
      </c>
      <c r="AQ93" s="1" t="s">
        <v>74</v>
      </c>
      <c r="AR93" s="1" t="s">
        <v>74</v>
      </c>
      <c r="AS93" s="1" t="s">
        <v>74</v>
      </c>
      <c r="AT93" s="1" t="s">
        <v>1114</v>
      </c>
      <c r="AU93" s="1">
        <v>2023.0</v>
      </c>
      <c r="AV93" s="1" t="s">
        <v>74</v>
      </c>
      <c r="AW93" s="1" t="s">
        <v>74</v>
      </c>
      <c r="AX93" s="1" t="s">
        <v>74</v>
      </c>
      <c r="AY93" s="1" t="s">
        <v>74</v>
      </c>
      <c r="AZ93" s="1" t="s">
        <v>74</v>
      </c>
      <c r="BA93" s="1" t="s">
        <v>74</v>
      </c>
      <c r="BB93" s="1" t="s">
        <v>74</v>
      </c>
      <c r="BC93" s="1" t="s">
        <v>74</v>
      </c>
      <c r="BD93" s="1" t="s">
        <v>74</v>
      </c>
      <c r="BE93" s="1" t="s">
        <v>1115</v>
      </c>
      <c r="BF93" s="2" t="str">
        <f>HYPERLINK("http://dx.doi.org/10.1038/s41591-023-02670-4","http://dx.doi.org/10.1038/s41591-023-02670-4")</f>
        <v>http://dx.doi.org/10.1038/s41591-023-02670-4</v>
      </c>
      <c r="BG93" s="1" t="s">
        <v>74</v>
      </c>
      <c r="BH93" s="1" t="s">
        <v>1116</v>
      </c>
      <c r="BI93" s="1" t="s">
        <v>74</v>
      </c>
      <c r="BJ93" s="1" t="s">
        <v>74</v>
      </c>
      <c r="BK93" s="1" t="s">
        <v>74</v>
      </c>
      <c r="BL93" s="1" t="s">
        <v>74</v>
      </c>
      <c r="BM93" s="1" t="s">
        <v>74</v>
      </c>
      <c r="BN93" s="1">
        <v>3.8012315E7</v>
      </c>
      <c r="BO93" s="1" t="s">
        <v>74</v>
      </c>
      <c r="BP93" s="1" t="s">
        <v>74</v>
      </c>
      <c r="BQ93" s="1" t="s">
        <v>74</v>
      </c>
      <c r="BR93" s="1" t="s">
        <v>74</v>
      </c>
      <c r="BS93" s="1" t="s">
        <v>1117</v>
      </c>
      <c r="BT93" s="1" t="str">
        <f>HYPERLINK("https%3A%2F%2Fwww.webofscience.com%2Fwos%2Fwoscc%2Ffull-record%2FWOS:001114781300001","View Full Record in Web of Science")</f>
        <v>View Full Record in Web of Science</v>
      </c>
    </row>
    <row r="94" ht="12.75" customHeight="1">
      <c r="A94" s="1" t="s">
        <v>72</v>
      </c>
      <c r="B94" s="1" t="s">
        <v>1118</v>
      </c>
      <c r="C94" s="1" t="s">
        <v>74</v>
      </c>
      <c r="D94" s="1" t="s">
        <v>74</v>
      </c>
      <c r="E94" s="1" t="s">
        <v>74</v>
      </c>
      <c r="F94" s="1" t="s">
        <v>1119</v>
      </c>
      <c r="G94" s="1" t="s">
        <v>74</v>
      </c>
      <c r="H94" s="1" t="s">
        <v>74</v>
      </c>
      <c r="I94" s="1" t="s">
        <v>1120</v>
      </c>
      <c r="J94" s="1" t="s">
        <v>1121</v>
      </c>
      <c r="K94" s="1" t="s">
        <v>74</v>
      </c>
      <c r="L94" s="1" t="s">
        <v>74</v>
      </c>
      <c r="M94" s="1" t="s">
        <v>74</v>
      </c>
      <c r="N94" s="1" t="s">
        <v>74</v>
      </c>
      <c r="O94" s="1" t="s">
        <v>74</v>
      </c>
      <c r="P94" s="1" t="s">
        <v>74</v>
      </c>
      <c r="Q94" s="1" t="s">
        <v>74</v>
      </c>
      <c r="R94" s="1" t="s">
        <v>74</v>
      </c>
      <c r="S94" s="1" t="s">
        <v>74</v>
      </c>
      <c r="T94" s="1" t="s">
        <v>74</v>
      </c>
      <c r="U94" s="1" t="s">
        <v>74</v>
      </c>
      <c r="V94" s="1" t="s">
        <v>1122</v>
      </c>
      <c r="W94" s="1" t="s">
        <v>74</v>
      </c>
      <c r="X94" s="1" t="s">
        <v>74</v>
      </c>
      <c r="Y94" s="1" t="s">
        <v>74</v>
      </c>
      <c r="Z94" s="1" t="s">
        <v>74</v>
      </c>
      <c r="AA94" s="1" t="s">
        <v>1123</v>
      </c>
      <c r="AB94" s="1" t="s">
        <v>1124</v>
      </c>
      <c r="AC94" s="1" t="s">
        <v>74</v>
      </c>
      <c r="AD94" s="1" t="s">
        <v>74</v>
      </c>
      <c r="AE94" s="1" t="s">
        <v>74</v>
      </c>
      <c r="AF94" s="1" t="s">
        <v>74</v>
      </c>
      <c r="AG94" s="1" t="s">
        <v>74</v>
      </c>
      <c r="AH94" s="1" t="s">
        <v>74</v>
      </c>
      <c r="AI94" s="1" t="s">
        <v>74</v>
      </c>
      <c r="AJ94" s="1" t="s">
        <v>74</v>
      </c>
      <c r="AK94" s="1" t="s">
        <v>74</v>
      </c>
      <c r="AL94" s="1" t="s">
        <v>74</v>
      </c>
      <c r="AM94" s="1" t="s">
        <v>74</v>
      </c>
      <c r="AN94" s="1" t="s">
        <v>74</v>
      </c>
      <c r="AO94" s="1" t="s">
        <v>74</v>
      </c>
      <c r="AP94" s="1" t="s">
        <v>1125</v>
      </c>
      <c r="AQ94" s="1" t="s">
        <v>74</v>
      </c>
      <c r="AR94" s="1" t="s">
        <v>74</v>
      </c>
      <c r="AS94" s="1" t="s">
        <v>74</v>
      </c>
      <c r="AT94" s="1" t="s">
        <v>1126</v>
      </c>
      <c r="AU94" s="1">
        <v>2021.0</v>
      </c>
      <c r="AV94" s="1">
        <v>12.0</v>
      </c>
      <c r="AW94" s="1" t="s">
        <v>74</v>
      </c>
      <c r="AX94" s="1" t="s">
        <v>74</v>
      </c>
      <c r="AY94" s="1" t="s">
        <v>74</v>
      </c>
      <c r="AZ94" s="1" t="s">
        <v>74</v>
      </c>
      <c r="BA94" s="1" t="s">
        <v>74</v>
      </c>
      <c r="BB94" s="1" t="s">
        <v>74</v>
      </c>
      <c r="BC94" s="1" t="s">
        <v>74</v>
      </c>
      <c r="BD94" s="1">
        <v>769267.0</v>
      </c>
      <c r="BE94" s="1" t="s">
        <v>1127</v>
      </c>
      <c r="BF94" s="2" t="str">
        <f>HYPERLINK("http://dx.doi.org/10.3389/fphys.2021.769267","http://dx.doi.org/10.3389/fphys.2021.769267")</f>
        <v>http://dx.doi.org/10.3389/fphys.2021.769267</v>
      </c>
      <c r="BG94" s="1" t="s">
        <v>74</v>
      </c>
      <c r="BH94" s="1" t="s">
        <v>74</v>
      </c>
      <c r="BI94" s="1" t="s">
        <v>74</v>
      </c>
      <c r="BJ94" s="1" t="s">
        <v>74</v>
      </c>
      <c r="BK94" s="1" t="s">
        <v>74</v>
      </c>
      <c r="BL94" s="1" t="s">
        <v>74</v>
      </c>
      <c r="BM94" s="1" t="s">
        <v>74</v>
      </c>
      <c r="BN94" s="1">
        <v>3.4887776E7</v>
      </c>
      <c r="BO94" s="1" t="s">
        <v>74</v>
      </c>
      <c r="BP94" s="1" t="s">
        <v>74</v>
      </c>
      <c r="BQ94" s="1" t="s">
        <v>74</v>
      </c>
      <c r="BR94" s="1" t="s">
        <v>74</v>
      </c>
      <c r="BS94" s="1" t="s">
        <v>1128</v>
      </c>
      <c r="BT94" s="1" t="str">
        <f>HYPERLINK("https%3A%2F%2Fwww.webofscience.com%2Fwos%2Fwoscc%2Ffull-record%2FWOS:000727645100001","View Full Record in Web of Science")</f>
        <v>View Full Record in Web of Science</v>
      </c>
    </row>
    <row r="95" ht="12.75" customHeight="1">
      <c r="A95" s="1" t="s">
        <v>72</v>
      </c>
      <c r="B95" s="1" t="s">
        <v>1129</v>
      </c>
      <c r="C95" s="1" t="s">
        <v>74</v>
      </c>
      <c r="D95" s="1" t="s">
        <v>74</v>
      </c>
      <c r="E95" s="1" t="s">
        <v>74</v>
      </c>
      <c r="F95" s="1" t="s">
        <v>1130</v>
      </c>
      <c r="G95" s="1" t="s">
        <v>74</v>
      </c>
      <c r="H95" s="1" t="s">
        <v>74</v>
      </c>
      <c r="I95" s="1" t="s">
        <v>1131</v>
      </c>
      <c r="J95" s="1" t="s">
        <v>259</v>
      </c>
      <c r="K95" s="1" t="s">
        <v>74</v>
      </c>
      <c r="L95" s="1" t="s">
        <v>74</v>
      </c>
      <c r="M95" s="1" t="s">
        <v>74</v>
      </c>
      <c r="N95" s="1" t="s">
        <v>74</v>
      </c>
      <c r="O95" s="1" t="s">
        <v>74</v>
      </c>
      <c r="P95" s="1" t="s">
        <v>74</v>
      </c>
      <c r="Q95" s="1" t="s">
        <v>74</v>
      </c>
      <c r="R95" s="1" t="s">
        <v>74</v>
      </c>
      <c r="S95" s="1" t="s">
        <v>74</v>
      </c>
      <c r="T95" s="1" t="s">
        <v>74</v>
      </c>
      <c r="U95" s="1" t="s">
        <v>74</v>
      </c>
      <c r="V95" s="1" t="s">
        <v>1132</v>
      </c>
      <c r="W95" s="1" t="s">
        <v>74</v>
      </c>
      <c r="X95" s="1" t="s">
        <v>74</v>
      </c>
      <c r="Y95" s="1" t="s">
        <v>74</v>
      </c>
      <c r="Z95" s="1" t="s">
        <v>74</v>
      </c>
      <c r="AA95" s="1" t="s">
        <v>1133</v>
      </c>
      <c r="AB95" s="1" t="s">
        <v>1134</v>
      </c>
      <c r="AC95" s="1" t="s">
        <v>74</v>
      </c>
      <c r="AD95" s="1" t="s">
        <v>74</v>
      </c>
      <c r="AE95" s="1" t="s">
        <v>74</v>
      </c>
      <c r="AF95" s="1" t="s">
        <v>74</v>
      </c>
      <c r="AG95" s="1" t="s">
        <v>74</v>
      </c>
      <c r="AH95" s="1" t="s">
        <v>74</v>
      </c>
      <c r="AI95" s="1" t="s">
        <v>74</v>
      </c>
      <c r="AJ95" s="1" t="s">
        <v>74</v>
      </c>
      <c r="AK95" s="1" t="s">
        <v>74</v>
      </c>
      <c r="AL95" s="1" t="s">
        <v>74</v>
      </c>
      <c r="AM95" s="1" t="s">
        <v>74</v>
      </c>
      <c r="AN95" s="1" t="s">
        <v>74</v>
      </c>
      <c r="AO95" s="1" t="s">
        <v>74</v>
      </c>
      <c r="AP95" s="1" t="s">
        <v>263</v>
      </c>
      <c r="AQ95" s="1" t="s">
        <v>74</v>
      </c>
      <c r="AR95" s="1" t="s">
        <v>74</v>
      </c>
      <c r="AS95" s="1" t="s">
        <v>74</v>
      </c>
      <c r="AT95" s="1" t="s">
        <v>239</v>
      </c>
      <c r="AU95" s="1">
        <v>2020.0</v>
      </c>
      <c r="AV95" s="1">
        <v>12.0</v>
      </c>
      <c r="AW95" s="1">
        <v>5.0</v>
      </c>
      <c r="AX95" s="1" t="s">
        <v>74</v>
      </c>
      <c r="AY95" s="1" t="s">
        <v>74</v>
      </c>
      <c r="AZ95" s="1" t="s">
        <v>74</v>
      </c>
      <c r="BA95" s="1" t="s">
        <v>74</v>
      </c>
      <c r="BB95" s="1" t="s">
        <v>74</v>
      </c>
      <c r="BC95" s="1" t="s">
        <v>74</v>
      </c>
      <c r="BD95" s="1">
        <v>1250.0</v>
      </c>
      <c r="BE95" s="1" t="s">
        <v>1135</v>
      </c>
      <c r="BF95" s="2" t="str">
        <f>HYPERLINK("http://dx.doi.org/10.3390/nu12051250","http://dx.doi.org/10.3390/nu12051250")</f>
        <v>http://dx.doi.org/10.3390/nu12051250</v>
      </c>
      <c r="BG95" s="1" t="s">
        <v>74</v>
      </c>
      <c r="BH95" s="1" t="s">
        <v>74</v>
      </c>
      <c r="BI95" s="1" t="s">
        <v>74</v>
      </c>
      <c r="BJ95" s="1" t="s">
        <v>74</v>
      </c>
      <c r="BK95" s="1" t="s">
        <v>74</v>
      </c>
      <c r="BL95" s="1" t="s">
        <v>74</v>
      </c>
      <c r="BM95" s="1" t="s">
        <v>74</v>
      </c>
      <c r="BN95" s="1">
        <v>3.2354005E7</v>
      </c>
      <c r="BO95" s="1" t="s">
        <v>74</v>
      </c>
      <c r="BP95" s="1" t="s">
        <v>74</v>
      </c>
      <c r="BQ95" s="1" t="s">
        <v>74</v>
      </c>
      <c r="BR95" s="1" t="s">
        <v>74</v>
      </c>
      <c r="BS95" s="1" t="s">
        <v>1136</v>
      </c>
      <c r="BT95" s="1" t="str">
        <f>HYPERLINK("https%3A%2F%2Fwww.webofscience.com%2Fwos%2Fwoscc%2Ffull-record%2FWOS:000542272700074","View Full Record in Web of Science")</f>
        <v>View Full Record in Web of Science</v>
      </c>
    </row>
    <row r="96" ht="12.75" customHeight="1">
      <c r="A96" s="1" t="s">
        <v>72</v>
      </c>
      <c r="B96" s="1" t="s">
        <v>1137</v>
      </c>
      <c r="C96" s="1" t="s">
        <v>74</v>
      </c>
      <c r="D96" s="1" t="s">
        <v>74</v>
      </c>
      <c r="E96" s="1" t="s">
        <v>74</v>
      </c>
      <c r="F96" s="1" t="s">
        <v>1138</v>
      </c>
      <c r="G96" s="1" t="s">
        <v>74</v>
      </c>
      <c r="H96" s="1" t="s">
        <v>74</v>
      </c>
      <c r="I96" s="1" t="s">
        <v>1139</v>
      </c>
      <c r="J96" s="1" t="s">
        <v>1140</v>
      </c>
      <c r="K96" s="1" t="s">
        <v>74</v>
      </c>
      <c r="L96" s="1" t="s">
        <v>74</v>
      </c>
      <c r="M96" s="1" t="s">
        <v>74</v>
      </c>
      <c r="N96" s="1" t="s">
        <v>74</v>
      </c>
      <c r="O96" s="1" t="s">
        <v>74</v>
      </c>
      <c r="P96" s="1" t="s">
        <v>74</v>
      </c>
      <c r="Q96" s="1" t="s">
        <v>74</v>
      </c>
      <c r="R96" s="1" t="s">
        <v>74</v>
      </c>
      <c r="S96" s="1" t="s">
        <v>74</v>
      </c>
      <c r="T96" s="1" t="s">
        <v>74</v>
      </c>
      <c r="U96" s="1" t="s">
        <v>74</v>
      </c>
      <c r="V96" s="1" t="s">
        <v>1141</v>
      </c>
      <c r="W96" s="1" t="s">
        <v>74</v>
      </c>
      <c r="X96" s="1" t="s">
        <v>74</v>
      </c>
      <c r="Y96" s="1" t="s">
        <v>74</v>
      </c>
      <c r="Z96" s="1" t="s">
        <v>74</v>
      </c>
      <c r="AA96" s="1" t="s">
        <v>1142</v>
      </c>
      <c r="AB96" s="1" t="s">
        <v>1143</v>
      </c>
      <c r="AC96" s="1" t="s">
        <v>74</v>
      </c>
      <c r="AD96" s="1" t="s">
        <v>74</v>
      </c>
      <c r="AE96" s="1" t="s">
        <v>74</v>
      </c>
      <c r="AF96" s="1" t="s">
        <v>74</v>
      </c>
      <c r="AG96" s="1" t="s">
        <v>74</v>
      </c>
      <c r="AH96" s="1" t="s">
        <v>74</v>
      </c>
      <c r="AI96" s="1" t="s">
        <v>74</v>
      </c>
      <c r="AJ96" s="1" t="s">
        <v>74</v>
      </c>
      <c r="AK96" s="1" t="s">
        <v>74</v>
      </c>
      <c r="AL96" s="1" t="s">
        <v>74</v>
      </c>
      <c r="AM96" s="1" t="s">
        <v>74</v>
      </c>
      <c r="AN96" s="1" t="s">
        <v>74</v>
      </c>
      <c r="AO96" s="1" t="s">
        <v>74</v>
      </c>
      <c r="AP96" s="1" t="s">
        <v>1144</v>
      </c>
      <c r="AQ96" s="1" t="s">
        <v>74</v>
      </c>
      <c r="AR96" s="1" t="s">
        <v>74</v>
      </c>
      <c r="AS96" s="1" t="s">
        <v>74</v>
      </c>
      <c r="AT96" s="1" t="s">
        <v>392</v>
      </c>
      <c r="AU96" s="1">
        <v>2020.0</v>
      </c>
      <c r="AV96" s="1">
        <v>8.0</v>
      </c>
      <c r="AW96" s="1">
        <v>4.0</v>
      </c>
      <c r="AX96" s="1" t="s">
        <v>74</v>
      </c>
      <c r="AY96" s="1" t="s">
        <v>74</v>
      </c>
      <c r="AZ96" s="1" t="s">
        <v>74</v>
      </c>
      <c r="BA96" s="1" t="s">
        <v>74</v>
      </c>
      <c r="BB96" s="1" t="s">
        <v>74</v>
      </c>
      <c r="BC96" s="1" t="s">
        <v>74</v>
      </c>
      <c r="BD96" s="1">
        <v>444.0</v>
      </c>
      <c r="BE96" s="1" t="s">
        <v>1145</v>
      </c>
      <c r="BF96" s="2" t="str">
        <f>HYPERLINK("http://dx.doi.org/10.3390/pr8040444","http://dx.doi.org/10.3390/pr8040444")</f>
        <v>http://dx.doi.org/10.3390/pr8040444</v>
      </c>
      <c r="BG96" s="1" t="s">
        <v>74</v>
      </c>
      <c r="BH96" s="1" t="s">
        <v>74</v>
      </c>
      <c r="BI96" s="1" t="s">
        <v>74</v>
      </c>
      <c r="BJ96" s="1" t="s">
        <v>74</v>
      </c>
      <c r="BK96" s="1" t="s">
        <v>74</v>
      </c>
      <c r="BL96" s="1" t="s">
        <v>74</v>
      </c>
      <c r="BM96" s="1" t="s">
        <v>74</v>
      </c>
      <c r="BN96" s="1" t="s">
        <v>74</v>
      </c>
      <c r="BO96" s="1" t="s">
        <v>74</v>
      </c>
      <c r="BP96" s="1" t="s">
        <v>74</v>
      </c>
      <c r="BQ96" s="1" t="s">
        <v>74</v>
      </c>
      <c r="BR96" s="1" t="s">
        <v>74</v>
      </c>
      <c r="BS96" s="1" t="s">
        <v>1146</v>
      </c>
      <c r="BT96" s="1" t="str">
        <f>HYPERLINK("https%3A%2F%2Fwww.webofscience.com%2Fwos%2Fwoscc%2Ffull-record%2FWOS:000536891900101","View Full Record in Web of Science")</f>
        <v>View Full Record in Web of Science</v>
      </c>
    </row>
    <row r="97" ht="12.75" customHeight="1">
      <c r="A97" s="1" t="s">
        <v>72</v>
      </c>
      <c r="B97" s="1" t="s">
        <v>1147</v>
      </c>
      <c r="C97" s="1" t="s">
        <v>74</v>
      </c>
      <c r="D97" s="1" t="s">
        <v>74</v>
      </c>
      <c r="E97" s="1" t="s">
        <v>74</v>
      </c>
      <c r="F97" s="1" t="s">
        <v>1148</v>
      </c>
      <c r="G97" s="1" t="s">
        <v>74</v>
      </c>
      <c r="H97" s="1" t="s">
        <v>74</v>
      </c>
      <c r="I97" s="1" t="s">
        <v>1149</v>
      </c>
      <c r="J97" s="1" t="s">
        <v>1150</v>
      </c>
      <c r="K97" s="1" t="s">
        <v>74</v>
      </c>
      <c r="L97" s="1" t="s">
        <v>74</v>
      </c>
      <c r="M97" s="1" t="s">
        <v>74</v>
      </c>
      <c r="N97" s="1" t="s">
        <v>74</v>
      </c>
      <c r="O97" s="1" t="s">
        <v>74</v>
      </c>
      <c r="P97" s="1" t="s">
        <v>74</v>
      </c>
      <c r="Q97" s="1" t="s">
        <v>74</v>
      </c>
      <c r="R97" s="1" t="s">
        <v>74</v>
      </c>
      <c r="S97" s="1" t="s">
        <v>74</v>
      </c>
      <c r="T97" s="1" t="s">
        <v>74</v>
      </c>
      <c r="U97" s="1" t="s">
        <v>74</v>
      </c>
      <c r="V97" s="1" t="s">
        <v>1151</v>
      </c>
      <c r="W97" s="1" t="s">
        <v>74</v>
      </c>
      <c r="X97" s="1" t="s">
        <v>74</v>
      </c>
      <c r="Y97" s="1" t="s">
        <v>74</v>
      </c>
      <c r="Z97" s="1" t="s">
        <v>74</v>
      </c>
      <c r="AA97" s="1" t="s">
        <v>1152</v>
      </c>
      <c r="AB97" s="1" t="s">
        <v>1153</v>
      </c>
      <c r="AC97" s="1" t="s">
        <v>74</v>
      </c>
      <c r="AD97" s="1" t="s">
        <v>74</v>
      </c>
      <c r="AE97" s="1" t="s">
        <v>74</v>
      </c>
      <c r="AF97" s="1" t="s">
        <v>74</v>
      </c>
      <c r="AG97" s="1" t="s">
        <v>74</v>
      </c>
      <c r="AH97" s="1" t="s">
        <v>74</v>
      </c>
      <c r="AI97" s="1" t="s">
        <v>74</v>
      </c>
      <c r="AJ97" s="1" t="s">
        <v>74</v>
      </c>
      <c r="AK97" s="1" t="s">
        <v>74</v>
      </c>
      <c r="AL97" s="1" t="s">
        <v>74</v>
      </c>
      <c r="AM97" s="1" t="s">
        <v>74</v>
      </c>
      <c r="AN97" s="1" t="s">
        <v>74</v>
      </c>
      <c r="AO97" s="1" t="s">
        <v>1154</v>
      </c>
      <c r="AP97" s="1" t="s">
        <v>74</v>
      </c>
      <c r="AQ97" s="1" t="s">
        <v>74</v>
      </c>
      <c r="AR97" s="1" t="s">
        <v>74</v>
      </c>
      <c r="AS97" s="1" t="s">
        <v>74</v>
      </c>
      <c r="AT97" s="1" t="s">
        <v>1155</v>
      </c>
      <c r="AU97" s="1">
        <v>2015.0</v>
      </c>
      <c r="AV97" s="1">
        <v>2.0</v>
      </c>
      <c r="AW97" s="1">
        <v>15.0</v>
      </c>
      <c r="AX97" s="1" t="s">
        <v>74</v>
      </c>
      <c r="AY97" s="1" t="s">
        <v>74</v>
      </c>
      <c r="AZ97" s="1" t="s">
        <v>74</v>
      </c>
      <c r="BA97" s="1" t="s">
        <v>74</v>
      </c>
      <c r="BB97" s="1" t="s">
        <v>74</v>
      </c>
      <c r="BC97" s="1" t="s">
        <v>74</v>
      </c>
      <c r="BD97" s="1">
        <v>1500191.0</v>
      </c>
      <c r="BE97" s="1" t="s">
        <v>1156</v>
      </c>
      <c r="BF97" s="2" t="str">
        <f>HYPERLINK("http://dx.doi.org/10.1002/admi.201500191","http://dx.doi.org/10.1002/admi.201500191")</f>
        <v>http://dx.doi.org/10.1002/admi.201500191</v>
      </c>
      <c r="BG97" s="1" t="s">
        <v>74</v>
      </c>
      <c r="BH97" s="1" t="s">
        <v>74</v>
      </c>
      <c r="BI97" s="1" t="s">
        <v>74</v>
      </c>
      <c r="BJ97" s="1" t="s">
        <v>74</v>
      </c>
      <c r="BK97" s="1" t="s">
        <v>74</v>
      </c>
      <c r="BL97" s="1" t="s">
        <v>74</v>
      </c>
      <c r="BM97" s="1" t="s">
        <v>74</v>
      </c>
      <c r="BN97" s="1" t="s">
        <v>74</v>
      </c>
      <c r="BO97" s="1" t="s">
        <v>74</v>
      </c>
      <c r="BP97" s="1" t="s">
        <v>74</v>
      </c>
      <c r="BQ97" s="1" t="s">
        <v>74</v>
      </c>
      <c r="BR97" s="1" t="s">
        <v>74</v>
      </c>
      <c r="BS97" s="1" t="s">
        <v>1157</v>
      </c>
      <c r="BT97" s="1" t="str">
        <f>HYPERLINK("https%3A%2F%2Fwww.webofscience.com%2Fwos%2Fwoscc%2Ffull-record%2FWOS:000363415300004","View Full Record in Web of Science")</f>
        <v>View Full Record in Web of Science</v>
      </c>
    </row>
    <row r="98" ht="12.75" customHeight="1">
      <c r="A98" s="1" t="s">
        <v>72</v>
      </c>
      <c r="B98" s="1" t="s">
        <v>1158</v>
      </c>
      <c r="C98" s="1" t="s">
        <v>74</v>
      </c>
      <c r="D98" s="1" t="s">
        <v>74</v>
      </c>
      <c r="E98" s="1" t="s">
        <v>74</v>
      </c>
      <c r="F98" s="1" t="s">
        <v>1159</v>
      </c>
      <c r="G98" s="1" t="s">
        <v>74</v>
      </c>
      <c r="H98" s="1" t="s">
        <v>74</v>
      </c>
      <c r="I98" s="1" t="s">
        <v>1160</v>
      </c>
      <c r="J98" s="1" t="s">
        <v>363</v>
      </c>
      <c r="K98" s="1" t="s">
        <v>74</v>
      </c>
      <c r="L98" s="1" t="s">
        <v>74</v>
      </c>
      <c r="M98" s="1" t="s">
        <v>74</v>
      </c>
      <c r="N98" s="1" t="s">
        <v>74</v>
      </c>
      <c r="O98" s="1" t="s">
        <v>74</v>
      </c>
      <c r="P98" s="1" t="s">
        <v>74</v>
      </c>
      <c r="Q98" s="1" t="s">
        <v>74</v>
      </c>
      <c r="R98" s="1" t="s">
        <v>74</v>
      </c>
      <c r="S98" s="1" t="s">
        <v>74</v>
      </c>
      <c r="T98" s="1" t="s">
        <v>74</v>
      </c>
      <c r="U98" s="1" t="s">
        <v>74</v>
      </c>
      <c r="V98" s="1" t="s">
        <v>1161</v>
      </c>
      <c r="W98" s="1" t="s">
        <v>74</v>
      </c>
      <c r="X98" s="1" t="s">
        <v>74</v>
      </c>
      <c r="Y98" s="1" t="s">
        <v>74</v>
      </c>
      <c r="Z98" s="1" t="s">
        <v>74</v>
      </c>
      <c r="AA98" s="1" t="s">
        <v>1162</v>
      </c>
      <c r="AB98" s="1" t="s">
        <v>1163</v>
      </c>
      <c r="AC98" s="1" t="s">
        <v>74</v>
      </c>
      <c r="AD98" s="1" t="s">
        <v>74</v>
      </c>
      <c r="AE98" s="1" t="s">
        <v>74</v>
      </c>
      <c r="AF98" s="1" t="s">
        <v>74</v>
      </c>
      <c r="AG98" s="1" t="s">
        <v>74</v>
      </c>
      <c r="AH98" s="1" t="s">
        <v>74</v>
      </c>
      <c r="AI98" s="1" t="s">
        <v>74</v>
      </c>
      <c r="AJ98" s="1" t="s">
        <v>74</v>
      </c>
      <c r="AK98" s="1" t="s">
        <v>74</v>
      </c>
      <c r="AL98" s="1" t="s">
        <v>74</v>
      </c>
      <c r="AM98" s="1" t="s">
        <v>74</v>
      </c>
      <c r="AN98" s="1" t="s">
        <v>74</v>
      </c>
      <c r="AO98" s="1" t="s">
        <v>367</v>
      </c>
      <c r="AP98" s="1" t="s">
        <v>368</v>
      </c>
      <c r="AQ98" s="1" t="s">
        <v>74</v>
      </c>
      <c r="AR98" s="1" t="s">
        <v>74</v>
      </c>
      <c r="AS98" s="1" t="s">
        <v>74</v>
      </c>
      <c r="AT98" s="1" t="s">
        <v>723</v>
      </c>
      <c r="AU98" s="1">
        <v>2015.0</v>
      </c>
      <c r="AV98" s="1">
        <v>7.0</v>
      </c>
      <c r="AW98" s="1">
        <v>27.0</v>
      </c>
      <c r="AX98" s="1" t="s">
        <v>74</v>
      </c>
      <c r="AY98" s="1" t="s">
        <v>74</v>
      </c>
      <c r="AZ98" s="1" t="s">
        <v>74</v>
      </c>
      <c r="BA98" s="1" t="s">
        <v>74</v>
      </c>
      <c r="BB98" s="1">
        <v>15042.0</v>
      </c>
      <c r="BC98" s="1">
        <v>15051.0</v>
      </c>
      <c r="BD98" s="1" t="s">
        <v>74</v>
      </c>
      <c r="BE98" s="1" t="s">
        <v>1164</v>
      </c>
      <c r="BF98" s="2" t="str">
        <f>HYPERLINK("http://dx.doi.org/10.1021/acsami.5b04336","http://dx.doi.org/10.1021/acsami.5b04336")</f>
        <v>http://dx.doi.org/10.1021/acsami.5b04336</v>
      </c>
      <c r="BG98" s="1" t="s">
        <v>74</v>
      </c>
      <c r="BH98" s="1" t="s">
        <v>74</v>
      </c>
      <c r="BI98" s="1" t="s">
        <v>74</v>
      </c>
      <c r="BJ98" s="1" t="s">
        <v>74</v>
      </c>
      <c r="BK98" s="1" t="s">
        <v>74</v>
      </c>
      <c r="BL98" s="1" t="s">
        <v>74</v>
      </c>
      <c r="BM98" s="1" t="s">
        <v>74</v>
      </c>
      <c r="BN98" s="1">
        <v>2.6086175E7</v>
      </c>
      <c r="BO98" s="1" t="s">
        <v>74</v>
      </c>
      <c r="BP98" s="1" t="s">
        <v>74</v>
      </c>
      <c r="BQ98" s="1" t="s">
        <v>74</v>
      </c>
      <c r="BR98" s="1" t="s">
        <v>74</v>
      </c>
      <c r="BS98" s="1" t="s">
        <v>1165</v>
      </c>
      <c r="BT98" s="1" t="str">
        <f>HYPERLINK("https%3A%2F%2Fwww.webofscience.com%2Fwos%2Fwoscc%2Ffull-record%2FWOS:000358395200061","View Full Record in Web of Science")</f>
        <v>View Full Record in Web of Science</v>
      </c>
    </row>
    <row r="99" ht="12.75" customHeight="1">
      <c r="A99" s="1" t="s">
        <v>72</v>
      </c>
      <c r="B99" s="1" t="s">
        <v>1166</v>
      </c>
      <c r="C99" s="1" t="s">
        <v>74</v>
      </c>
      <c r="D99" s="1" t="s">
        <v>74</v>
      </c>
      <c r="E99" s="1" t="s">
        <v>74</v>
      </c>
      <c r="F99" s="1" t="s">
        <v>1167</v>
      </c>
      <c r="G99" s="1" t="s">
        <v>74</v>
      </c>
      <c r="H99" s="1" t="s">
        <v>74</v>
      </c>
      <c r="I99" s="1" t="s">
        <v>1168</v>
      </c>
      <c r="J99" s="1" t="s">
        <v>1169</v>
      </c>
      <c r="K99" s="1" t="s">
        <v>74</v>
      </c>
      <c r="L99" s="1" t="s">
        <v>74</v>
      </c>
      <c r="M99" s="1" t="s">
        <v>74</v>
      </c>
      <c r="N99" s="1" t="s">
        <v>74</v>
      </c>
      <c r="O99" s="1" t="s">
        <v>74</v>
      </c>
      <c r="P99" s="1" t="s">
        <v>74</v>
      </c>
      <c r="Q99" s="1" t="s">
        <v>74</v>
      </c>
      <c r="R99" s="1" t="s">
        <v>74</v>
      </c>
      <c r="S99" s="1" t="s">
        <v>74</v>
      </c>
      <c r="T99" s="1" t="s">
        <v>74</v>
      </c>
      <c r="U99" s="1" t="s">
        <v>74</v>
      </c>
      <c r="V99" s="1" t="s">
        <v>1170</v>
      </c>
      <c r="W99" s="1" t="s">
        <v>74</v>
      </c>
      <c r="X99" s="1" t="s">
        <v>74</v>
      </c>
      <c r="Y99" s="1" t="s">
        <v>74</v>
      </c>
      <c r="Z99" s="1" t="s">
        <v>74</v>
      </c>
      <c r="AA99" s="1" t="s">
        <v>1171</v>
      </c>
      <c r="AB99" s="1" t="s">
        <v>1172</v>
      </c>
      <c r="AC99" s="1" t="s">
        <v>74</v>
      </c>
      <c r="AD99" s="1" t="s">
        <v>74</v>
      </c>
      <c r="AE99" s="1" t="s">
        <v>74</v>
      </c>
      <c r="AF99" s="1" t="s">
        <v>74</v>
      </c>
      <c r="AG99" s="1" t="s">
        <v>74</v>
      </c>
      <c r="AH99" s="1" t="s">
        <v>74</v>
      </c>
      <c r="AI99" s="1" t="s">
        <v>74</v>
      </c>
      <c r="AJ99" s="1" t="s">
        <v>74</v>
      </c>
      <c r="AK99" s="1" t="s">
        <v>74</v>
      </c>
      <c r="AL99" s="1" t="s">
        <v>74</v>
      </c>
      <c r="AM99" s="1" t="s">
        <v>74</v>
      </c>
      <c r="AN99" s="1" t="s">
        <v>74</v>
      </c>
      <c r="AO99" s="1" t="s">
        <v>1173</v>
      </c>
      <c r="AP99" s="1" t="s">
        <v>1174</v>
      </c>
      <c r="AQ99" s="1" t="s">
        <v>74</v>
      </c>
      <c r="AR99" s="1" t="s">
        <v>74</v>
      </c>
      <c r="AS99" s="1" t="s">
        <v>74</v>
      </c>
      <c r="AT99" s="1" t="s">
        <v>392</v>
      </c>
      <c r="AU99" s="1">
        <v>2024.0</v>
      </c>
      <c r="AV99" s="1">
        <v>51.0</v>
      </c>
      <c r="AW99" s="1">
        <v>4.0</v>
      </c>
      <c r="AX99" s="1" t="s">
        <v>74</v>
      </c>
      <c r="AY99" s="1" t="s">
        <v>74</v>
      </c>
      <c r="AZ99" s="1" t="s">
        <v>74</v>
      </c>
      <c r="BA99" s="1" t="s">
        <v>74</v>
      </c>
      <c r="BB99" s="1">
        <v>710.0</v>
      </c>
      <c r="BC99" s="1">
        <v>724.0</v>
      </c>
      <c r="BD99" s="1" t="s">
        <v>74</v>
      </c>
      <c r="BE99" s="1" t="s">
        <v>1175</v>
      </c>
      <c r="BF99" s="2" t="str">
        <f>HYPERLINK("http://dx.doi.org/10.1111/jbi.14786","http://dx.doi.org/10.1111/jbi.14786")</f>
        <v>http://dx.doi.org/10.1111/jbi.14786</v>
      </c>
      <c r="BG99" s="1" t="s">
        <v>74</v>
      </c>
      <c r="BH99" s="1" t="s">
        <v>1176</v>
      </c>
      <c r="BI99" s="1" t="s">
        <v>74</v>
      </c>
      <c r="BJ99" s="1" t="s">
        <v>74</v>
      </c>
      <c r="BK99" s="1" t="s">
        <v>74</v>
      </c>
      <c r="BL99" s="1" t="s">
        <v>74</v>
      </c>
      <c r="BM99" s="1" t="s">
        <v>74</v>
      </c>
      <c r="BN99" s="1" t="s">
        <v>74</v>
      </c>
      <c r="BO99" s="1" t="s">
        <v>74</v>
      </c>
      <c r="BP99" s="1" t="s">
        <v>74</v>
      </c>
      <c r="BQ99" s="1" t="s">
        <v>74</v>
      </c>
      <c r="BR99" s="1" t="s">
        <v>74</v>
      </c>
      <c r="BS99" s="1" t="s">
        <v>1177</v>
      </c>
      <c r="BT99" s="1" t="str">
        <f>HYPERLINK("https%3A%2F%2Fwww.webofscience.com%2Fwos%2Fwoscc%2Ffull-record%2FWOS:001135919800001","View Full Record in Web of Science")</f>
        <v>View Full Record in Web of Science</v>
      </c>
    </row>
    <row r="100" ht="12.75" customHeight="1">
      <c r="A100" s="1" t="s">
        <v>72</v>
      </c>
      <c r="B100" s="1" t="s">
        <v>1178</v>
      </c>
      <c r="C100" s="1" t="s">
        <v>74</v>
      </c>
      <c r="D100" s="1" t="s">
        <v>74</v>
      </c>
      <c r="E100" s="1" t="s">
        <v>74</v>
      </c>
      <c r="F100" s="1" t="s">
        <v>1179</v>
      </c>
      <c r="G100" s="1" t="s">
        <v>74</v>
      </c>
      <c r="H100" s="1" t="s">
        <v>74</v>
      </c>
      <c r="I100" s="1" t="s">
        <v>1180</v>
      </c>
      <c r="J100" s="1" t="s">
        <v>1181</v>
      </c>
      <c r="K100" s="1" t="s">
        <v>74</v>
      </c>
      <c r="L100" s="1" t="s">
        <v>74</v>
      </c>
      <c r="M100" s="1" t="s">
        <v>74</v>
      </c>
      <c r="N100" s="1" t="s">
        <v>74</v>
      </c>
      <c r="O100" s="1" t="s">
        <v>74</v>
      </c>
      <c r="P100" s="1" t="s">
        <v>74</v>
      </c>
      <c r="Q100" s="1" t="s">
        <v>74</v>
      </c>
      <c r="R100" s="1" t="s">
        <v>74</v>
      </c>
      <c r="S100" s="1" t="s">
        <v>74</v>
      </c>
      <c r="T100" s="1" t="s">
        <v>74</v>
      </c>
      <c r="U100" s="1" t="s">
        <v>74</v>
      </c>
      <c r="V100" s="1" t="s">
        <v>1182</v>
      </c>
      <c r="W100" s="1" t="s">
        <v>74</v>
      </c>
      <c r="X100" s="1" t="s">
        <v>74</v>
      </c>
      <c r="Y100" s="1" t="s">
        <v>74</v>
      </c>
      <c r="Z100" s="1" t="s">
        <v>74</v>
      </c>
      <c r="AA100" s="1" t="s">
        <v>1183</v>
      </c>
      <c r="AB100" s="1" t="s">
        <v>1184</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1185</v>
      </c>
      <c r="AP100" s="1" t="s">
        <v>1186</v>
      </c>
      <c r="AQ100" s="1" t="s">
        <v>74</v>
      </c>
      <c r="AR100" s="1" t="s">
        <v>74</v>
      </c>
      <c r="AS100" s="1" t="s">
        <v>74</v>
      </c>
      <c r="AT100" s="1" t="s">
        <v>1187</v>
      </c>
      <c r="AU100" s="1">
        <v>2023.0</v>
      </c>
      <c r="AV100" s="1">
        <v>56.0</v>
      </c>
      <c r="AW100" s="1">
        <v>1.0</v>
      </c>
      <c r="AX100" s="1" t="s">
        <v>74</v>
      </c>
      <c r="AY100" s="1" t="s">
        <v>74</v>
      </c>
      <c r="AZ100" s="1" t="s">
        <v>74</v>
      </c>
      <c r="BA100" s="1" t="s">
        <v>74</v>
      </c>
      <c r="BB100" s="1" t="s">
        <v>74</v>
      </c>
      <c r="BC100" s="1" t="s">
        <v>74</v>
      </c>
      <c r="BD100" s="1">
        <v>30.0</v>
      </c>
      <c r="BE100" s="1" t="s">
        <v>1188</v>
      </c>
      <c r="BF100" s="2" t="str">
        <f>HYPERLINK("http://dx.doi.org/10.1186/s40659-023-00436-3","http://dx.doi.org/10.1186/s40659-023-00436-3")</f>
        <v>http://dx.doi.org/10.1186/s40659-023-00436-3</v>
      </c>
      <c r="BG100" s="1" t="s">
        <v>74</v>
      </c>
      <c r="BH100" s="1" t="s">
        <v>74</v>
      </c>
      <c r="BI100" s="1" t="s">
        <v>74</v>
      </c>
      <c r="BJ100" s="1" t="s">
        <v>74</v>
      </c>
      <c r="BK100" s="1" t="s">
        <v>74</v>
      </c>
      <c r="BL100" s="1" t="s">
        <v>74</v>
      </c>
      <c r="BM100" s="1" t="s">
        <v>74</v>
      </c>
      <c r="BN100" s="1">
        <v>3.7291645E7</v>
      </c>
      <c r="BO100" s="1" t="s">
        <v>74</v>
      </c>
      <c r="BP100" s="1" t="s">
        <v>74</v>
      </c>
      <c r="BQ100" s="1" t="s">
        <v>74</v>
      </c>
      <c r="BR100" s="1" t="s">
        <v>74</v>
      </c>
      <c r="BS100" s="1" t="s">
        <v>1189</v>
      </c>
      <c r="BT100" s="1" t="str">
        <f>HYPERLINK("https%3A%2F%2Fwww.webofscience.com%2Fwos%2Fwoscc%2Ffull-record%2FWOS:001002692800001","View Full Record in Web of Science")</f>
        <v>View Full Record in Web of Science</v>
      </c>
    </row>
    <row r="101" ht="12.75" customHeight="1">
      <c r="A101" s="1" t="s">
        <v>72</v>
      </c>
      <c r="B101" s="1" t="s">
        <v>1190</v>
      </c>
      <c r="C101" s="1" t="s">
        <v>74</v>
      </c>
      <c r="D101" s="1" t="s">
        <v>74</v>
      </c>
      <c r="E101" s="1" t="s">
        <v>74</v>
      </c>
      <c r="F101" s="1" t="s">
        <v>1191</v>
      </c>
      <c r="G101" s="1" t="s">
        <v>74</v>
      </c>
      <c r="H101" s="1" t="s">
        <v>74</v>
      </c>
      <c r="I101" s="1" t="s">
        <v>1192</v>
      </c>
      <c r="J101" s="1" t="s">
        <v>1193</v>
      </c>
      <c r="K101" s="1" t="s">
        <v>74</v>
      </c>
      <c r="L101" s="1" t="s">
        <v>74</v>
      </c>
      <c r="M101" s="1" t="s">
        <v>74</v>
      </c>
      <c r="N101" s="1" t="s">
        <v>74</v>
      </c>
      <c r="O101" s="1" t="s">
        <v>74</v>
      </c>
      <c r="P101" s="1" t="s">
        <v>74</v>
      </c>
      <c r="Q101" s="1" t="s">
        <v>74</v>
      </c>
      <c r="R101" s="1" t="s">
        <v>74</v>
      </c>
      <c r="S101" s="1" t="s">
        <v>74</v>
      </c>
      <c r="T101" s="1" t="s">
        <v>74</v>
      </c>
      <c r="U101" s="1" t="s">
        <v>74</v>
      </c>
      <c r="V101" s="1" t="s">
        <v>1194</v>
      </c>
      <c r="W101" s="1" t="s">
        <v>74</v>
      </c>
      <c r="X101" s="1" t="s">
        <v>74</v>
      </c>
      <c r="Y101" s="1" t="s">
        <v>74</v>
      </c>
      <c r="Z101" s="1" t="s">
        <v>74</v>
      </c>
      <c r="AA101" s="1" t="s">
        <v>1195</v>
      </c>
      <c r="AB101" s="1" t="s">
        <v>1196</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1197</v>
      </c>
      <c r="AP101" s="1" t="s">
        <v>74</v>
      </c>
      <c r="AQ101" s="1" t="s">
        <v>74</v>
      </c>
      <c r="AR101" s="1" t="s">
        <v>74</v>
      </c>
      <c r="AS101" s="1" t="s">
        <v>74</v>
      </c>
      <c r="AT101" s="1" t="s">
        <v>1198</v>
      </c>
      <c r="AU101" s="1">
        <v>2022.0</v>
      </c>
      <c r="AV101" s="1">
        <v>13.0</v>
      </c>
      <c r="AW101" s="1">
        <v>7.0</v>
      </c>
      <c r="AX101" s="1" t="s">
        <v>74</v>
      </c>
      <c r="AY101" s="1" t="s">
        <v>74</v>
      </c>
      <c r="AZ101" s="1" t="s">
        <v>74</v>
      </c>
      <c r="BA101" s="1" t="s">
        <v>74</v>
      </c>
      <c r="BB101" s="1" t="s">
        <v>74</v>
      </c>
      <c r="BC101" s="1" t="s">
        <v>74</v>
      </c>
      <c r="BD101" s="1">
        <v>659.0</v>
      </c>
      <c r="BE101" s="1" t="s">
        <v>1199</v>
      </c>
      <c r="BF101" s="2" t="str">
        <f>HYPERLINK("http://dx.doi.org/10.1038/s41419-022-05109-9","http://dx.doi.org/10.1038/s41419-022-05109-9")</f>
        <v>http://dx.doi.org/10.1038/s41419-022-05109-9</v>
      </c>
      <c r="BG101" s="1" t="s">
        <v>74</v>
      </c>
      <c r="BH101" s="1" t="s">
        <v>74</v>
      </c>
      <c r="BI101" s="1" t="s">
        <v>74</v>
      </c>
      <c r="BJ101" s="1" t="s">
        <v>74</v>
      </c>
      <c r="BK101" s="1" t="s">
        <v>74</v>
      </c>
      <c r="BL101" s="1" t="s">
        <v>74</v>
      </c>
      <c r="BM101" s="1" t="s">
        <v>74</v>
      </c>
      <c r="BN101" s="1">
        <v>3.5902579E7</v>
      </c>
      <c r="BO101" s="1" t="s">
        <v>74</v>
      </c>
      <c r="BP101" s="1" t="s">
        <v>74</v>
      </c>
      <c r="BQ101" s="1" t="s">
        <v>74</v>
      </c>
      <c r="BR101" s="1" t="s">
        <v>74</v>
      </c>
      <c r="BS101" s="1" t="s">
        <v>1200</v>
      </c>
      <c r="BT101" s="1" t="str">
        <f>HYPERLINK("https%3A%2F%2Fwww.webofscience.com%2Fwos%2Fwoscc%2Ffull-record%2FWOS:000832912800002","View Full Record in Web of Science")</f>
        <v>View Full Record in Web of Science</v>
      </c>
    </row>
    <row r="102" ht="12.75" customHeight="1">
      <c r="A102" s="1" t="s">
        <v>72</v>
      </c>
      <c r="B102" s="1" t="s">
        <v>1201</v>
      </c>
      <c r="C102" s="1" t="s">
        <v>74</v>
      </c>
      <c r="D102" s="1" t="s">
        <v>74</v>
      </c>
      <c r="E102" s="1" t="s">
        <v>74</v>
      </c>
      <c r="F102" s="1" t="s">
        <v>1202</v>
      </c>
      <c r="G102" s="1" t="s">
        <v>74</v>
      </c>
      <c r="H102" s="1" t="s">
        <v>74</v>
      </c>
      <c r="I102" s="1" t="s">
        <v>1203</v>
      </c>
      <c r="J102" s="1" t="s">
        <v>1204</v>
      </c>
      <c r="K102" s="1" t="s">
        <v>74</v>
      </c>
      <c r="L102" s="1" t="s">
        <v>74</v>
      </c>
      <c r="M102" s="1" t="s">
        <v>74</v>
      </c>
      <c r="N102" s="1" t="s">
        <v>74</v>
      </c>
      <c r="O102" s="1" t="s">
        <v>74</v>
      </c>
      <c r="P102" s="1" t="s">
        <v>74</v>
      </c>
      <c r="Q102" s="1" t="s">
        <v>74</v>
      </c>
      <c r="R102" s="1" t="s">
        <v>74</v>
      </c>
      <c r="S102" s="1" t="s">
        <v>74</v>
      </c>
      <c r="T102" s="1" t="s">
        <v>74</v>
      </c>
      <c r="U102" s="1" t="s">
        <v>74</v>
      </c>
      <c r="V102" s="1" t="s">
        <v>1205</v>
      </c>
      <c r="W102" s="1" t="s">
        <v>74</v>
      </c>
      <c r="X102" s="1" t="s">
        <v>74</v>
      </c>
      <c r="Y102" s="1" t="s">
        <v>74</v>
      </c>
      <c r="Z102" s="1" t="s">
        <v>74</v>
      </c>
      <c r="AA102" s="1" t="s">
        <v>1206</v>
      </c>
      <c r="AB102" s="1" t="s">
        <v>1207</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1208</v>
      </c>
      <c r="AP102" s="1" t="s">
        <v>1209</v>
      </c>
      <c r="AQ102" s="1" t="s">
        <v>74</v>
      </c>
      <c r="AR102" s="1" t="s">
        <v>74</v>
      </c>
      <c r="AS102" s="1" t="s">
        <v>74</v>
      </c>
      <c r="AT102" s="1" t="s">
        <v>94</v>
      </c>
      <c r="AU102" s="1">
        <v>2023.0</v>
      </c>
      <c r="AV102" s="1">
        <v>30.0</v>
      </c>
      <c r="AW102" s="1">
        <v>60.0</v>
      </c>
      <c r="AX102" s="1" t="s">
        <v>74</v>
      </c>
      <c r="AY102" s="1" t="s">
        <v>74</v>
      </c>
      <c r="AZ102" s="1" t="s">
        <v>74</v>
      </c>
      <c r="BA102" s="1" t="s">
        <v>74</v>
      </c>
      <c r="BB102" s="1">
        <v>124447.0</v>
      </c>
      <c r="BC102" s="1">
        <v>124458.0</v>
      </c>
      <c r="BD102" s="1" t="s">
        <v>74</v>
      </c>
      <c r="BE102" s="1" t="s">
        <v>1210</v>
      </c>
      <c r="BF102" s="2" t="str">
        <f>HYPERLINK("http://dx.doi.org/10.1007/s11356-022-19523-1","http://dx.doi.org/10.1007/s11356-022-19523-1")</f>
        <v>http://dx.doi.org/10.1007/s11356-022-19523-1</v>
      </c>
      <c r="BG102" s="1" t="s">
        <v>74</v>
      </c>
      <c r="BH102" s="1" t="s">
        <v>1211</v>
      </c>
      <c r="BI102" s="1" t="s">
        <v>74</v>
      </c>
      <c r="BJ102" s="1" t="s">
        <v>74</v>
      </c>
      <c r="BK102" s="1" t="s">
        <v>74</v>
      </c>
      <c r="BL102" s="1" t="s">
        <v>74</v>
      </c>
      <c r="BM102" s="1" t="s">
        <v>74</v>
      </c>
      <c r="BN102" s="1">
        <v>3.5294686E7</v>
      </c>
      <c r="BO102" s="1" t="s">
        <v>74</v>
      </c>
      <c r="BP102" s="1" t="s">
        <v>74</v>
      </c>
      <c r="BQ102" s="1" t="s">
        <v>74</v>
      </c>
      <c r="BR102" s="1" t="s">
        <v>74</v>
      </c>
      <c r="BS102" s="1" t="s">
        <v>1212</v>
      </c>
      <c r="BT102" s="1" t="str">
        <f>HYPERLINK("https%3A%2F%2Fwww.webofscience.com%2Fwos%2Fwoscc%2Ffull-record%2FWOS:000769886700003","View Full Record in Web of Science")</f>
        <v>View Full Record in Web of Science</v>
      </c>
    </row>
    <row r="103" ht="12.75" customHeight="1">
      <c r="A103" s="1" t="s">
        <v>72</v>
      </c>
      <c r="B103" s="1" t="s">
        <v>1213</v>
      </c>
      <c r="C103" s="1" t="s">
        <v>74</v>
      </c>
      <c r="D103" s="1" t="s">
        <v>74</v>
      </c>
      <c r="E103" s="1" t="s">
        <v>74</v>
      </c>
      <c r="F103" s="1" t="s">
        <v>1214</v>
      </c>
      <c r="G103" s="1" t="s">
        <v>74</v>
      </c>
      <c r="H103" s="1" t="s">
        <v>74</v>
      </c>
      <c r="I103" s="1" t="s">
        <v>1215</v>
      </c>
      <c r="J103" s="1" t="s">
        <v>1216</v>
      </c>
      <c r="K103" s="1" t="s">
        <v>74</v>
      </c>
      <c r="L103" s="1" t="s">
        <v>74</v>
      </c>
      <c r="M103" s="1" t="s">
        <v>74</v>
      </c>
      <c r="N103" s="1" t="s">
        <v>74</v>
      </c>
      <c r="O103" s="1" t="s">
        <v>74</v>
      </c>
      <c r="P103" s="1" t="s">
        <v>74</v>
      </c>
      <c r="Q103" s="1" t="s">
        <v>74</v>
      </c>
      <c r="R103" s="1" t="s">
        <v>74</v>
      </c>
      <c r="S103" s="1" t="s">
        <v>74</v>
      </c>
      <c r="T103" s="1" t="s">
        <v>74</v>
      </c>
      <c r="U103" s="1" t="s">
        <v>74</v>
      </c>
      <c r="V103" s="1" t="s">
        <v>1217</v>
      </c>
      <c r="W103" s="1" t="s">
        <v>74</v>
      </c>
      <c r="X103" s="1" t="s">
        <v>74</v>
      </c>
      <c r="Y103" s="1" t="s">
        <v>74</v>
      </c>
      <c r="Z103" s="1" t="s">
        <v>74</v>
      </c>
      <c r="AA103" s="1" t="s">
        <v>1218</v>
      </c>
      <c r="AB103" s="1" t="s">
        <v>1219</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1220</v>
      </c>
      <c r="AP103" s="1" t="s">
        <v>74</v>
      </c>
      <c r="AQ103" s="1" t="s">
        <v>74</v>
      </c>
      <c r="AR103" s="1" t="s">
        <v>74</v>
      </c>
      <c r="AS103" s="1" t="s">
        <v>74</v>
      </c>
      <c r="AT103" s="1" t="s">
        <v>745</v>
      </c>
      <c r="AU103" s="1">
        <v>2021.0</v>
      </c>
      <c r="AV103" s="1">
        <v>11.0</v>
      </c>
      <c r="AW103" s="1">
        <v>7.0</v>
      </c>
      <c r="AX103" s="1" t="s">
        <v>74</v>
      </c>
      <c r="AY103" s="1" t="s">
        <v>74</v>
      </c>
      <c r="AZ103" s="1" t="s">
        <v>74</v>
      </c>
      <c r="BA103" s="1" t="s">
        <v>74</v>
      </c>
      <c r="BB103" s="1" t="s">
        <v>74</v>
      </c>
      <c r="BC103" s="1" t="s">
        <v>74</v>
      </c>
      <c r="BD103" s="1">
        <v>2122.0</v>
      </c>
      <c r="BE103" s="1" t="s">
        <v>1221</v>
      </c>
      <c r="BF103" s="2" t="str">
        <f>HYPERLINK("http://dx.doi.org/10.3390/ani11072122","http://dx.doi.org/10.3390/ani11072122")</f>
        <v>http://dx.doi.org/10.3390/ani11072122</v>
      </c>
      <c r="BG103" s="1" t="s">
        <v>74</v>
      </c>
      <c r="BH103" s="1" t="s">
        <v>74</v>
      </c>
      <c r="BI103" s="1" t="s">
        <v>74</v>
      </c>
      <c r="BJ103" s="1" t="s">
        <v>74</v>
      </c>
      <c r="BK103" s="1" t="s">
        <v>74</v>
      </c>
      <c r="BL103" s="1" t="s">
        <v>74</v>
      </c>
      <c r="BM103" s="1" t="s">
        <v>74</v>
      </c>
      <c r="BN103" s="1" t="s">
        <v>74</v>
      </c>
      <c r="BO103" s="1" t="s">
        <v>74</v>
      </c>
      <c r="BP103" s="1" t="s">
        <v>74</v>
      </c>
      <c r="BQ103" s="1" t="s">
        <v>74</v>
      </c>
      <c r="BR103" s="1" t="s">
        <v>74</v>
      </c>
      <c r="BS103" s="1" t="s">
        <v>1222</v>
      </c>
      <c r="BT103" s="1" t="str">
        <f>HYPERLINK("https%3A%2F%2Fwww.webofscience.com%2Fwos%2Fwoscc%2Ffull-record%2FWOS:000675902500001","View Full Record in Web of Science")</f>
        <v>View Full Record in Web of Science</v>
      </c>
    </row>
    <row r="104" ht="12.75" customHeight="1">
      <c r="A104" s="1" t="s">
        <v>72</v>
      </c>
      <c r="B104" s="1" t="s">
        <v>1223</v>
      </c>
      <c r="C104" s="1" t="s">
        <v>74</v>
      </c>
      <c r="D104" s="1" t="s">
        <v>74</v>
      </c>
      <c r="E104" s="1" t="s">
        <v>74</v>
      </c>
      <c r="F104" s="1" t="s">
        <v>1224</v>
      </c>
      <c r="G104" s="1" t="s">
        <v>74</v>
      </c>
      <c r="H104" s="1" t="s">
        <v>74</v>
      </c>
      <c r="I104" s="1" t="s">
        <v>1225</v>
      </c>
      <c r="J104" s="1" t="s">
        <v>1226</v>
      </c>
      <c r="K104" s="1" t="s">
        <v>74</v>
      </c>
      <c r="L104" s="1" t="s">
        <v>74</v>
      </c>
      <c r="M104" s="1" t="s">
        <v>74</v>
      </c>
      <c r="N104" s="1" t="s">
        <v>74</v>
      </c>
      <c r="O104" s="1" t="s">
        <v>74</v>
      </c>
      <c r="P104" s="1" t="s">
        <v>74</v>
      </c>
      <c r="Q104" s="1" t="s">
        <v>74</v>
      </c>
      <c r="R104" s="1" t="s">
        <v>74</v>
      </c>
      <c r="S104" s="1" t="s">
        <v>74</v>
      </c>
      <c r="T104" s="1" t="s">
        <v>74</v>
      </c>
      <c r="U104" s="1" t="s">
        <v>74</v>
      </c>
      <c r="V104" s="1" t="s">
        <v>74</v>
      </c>
      <c r="W104" s="1" t="s">
        <v>74</v>
      </c>
      <c r="X104" s="1" t="s">
        <v>74</v>
      </c>
      <c r="Y104" s="1" t="s">
        <v>74</v>
      </c>
      <c r="Z104" s="1" t="s">
        <v>74</v>
      </c>
      <c r="AA104" s="1" t="s">
        <v>1227</v>
      </c>
      <c r="AB104" s="1" t="s">
        <v>74</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1228</v>
      </c>
      <c r="AP104" s="1" t="s">
        <v>1229</v>
      </c>
      <c r="AQ104" s="1" t="s">
        <v>74</v>
      </c>
      <c r="AR104" s="1" t="s">
        <v>74</v>
      </c>
      <c r="AS104" s="1" t="s">
        <v>74</v>
      </c>
      <c r="AT104" s="1" t="s">
        <v>1230</v>
      </c>
      <c r="AU104" s="1">
        <v>2021.0</v>
      </c>
      <c r="AV104" s="1">
        <v>649.0</v>
      </c>
      <c r="AW104" s="1" t="s">
        <v>74</v>
      </c>
      <c r="AX104" s="1" t="s">
        <v>74</v>
      </c>
      <c r="AY104" s="1" t="s">
        <v>74</v>
      </c>
      <c r="AZ104" s="1" t="s">
        <v>74</v>
      </c>
      <c r="BA104" s="1" t="s">
        <v>74</v>
      </c>
      <c r="BB104" s="1" t="s">
        <v>74</v>
      </c>
      <c r="BC104" s="1" t="s">
        <v>74</v>
      </c>
      <c r="BD104" s="1" t="s">
        <v>1231</v>
      </c>
      <c r="BE104" s="1" t="s">
        <v>1232</v>
      </c>
      <c r="BF104" s="2" t="str">
        <f>HYPERLINK("http://dx.doi.org/10.1051/0004-6361/202039044e","http://dx.doi.org/10.1051/0004-6361/202039044e")</f>
        <v>http://dx.doi.org/10.1051/0004-6361/202039044e</v>
      </c>
      <c r="BG104" s="1" t="s">
        <v>74</v>
      </c>
      <c r="BH104" s="1" t="s">
        <v>74</v>
      </c>
      <c r="BI104" s="1" t="s">
        <v>74</v>
      </c>
      <c r="BJ104" s="1" t="s">
        <v>74</v>
      </c>
      <c r="BK104" s="1" t="s">
        <v>74</v>
      </c>
      <c r="BL104" s="1" t="s">
        <v>74</v>
      </c>
      <c r="BM104" s="1" t="s">
        <v>74</v>
      </c>
      <c r="BN104" s="1" t="s">
        <v>74</v>
      </c>
      <c r="BO104" s="1" t="s">
        <v>74</v>
      </c>
      <c r="BP104" s="1" t="s">
        <v>74</v>
      </c>
      <c r="BQ104" s="1" t="s">
        <v>74</v>
      </c>
      <c r="BR104" s="1" t="s">
        <v>74</v>
      </c>
      <c r="BS104" s="1" t="s">
        <v>1233</v>
      </c>
      <c r="BT104" s="1" t="str">
        <f>HYPERLINK("https%3A%2F%2Fwww.webofscience.com%2Fwos%2Fwoscc%2Ffull-record%2FWOS:000646808000001","View Full Record in Web of Science")</f>
        <v>View Full Record in Web of Science</v>
      </c>
    </row>
    <row r="105" ht="12.75" customHeight="1">
      <c r="A105" s="1" t="s">
        <v>72</v>
      </c>
      <c r="B105" s="1" t="s">
        <v>1234</v>
      </c>
      <c r="C105" s="1" t="s">
        <v>74</v>
      </c>
      <c r="D105" s="1" t="s">
        <v>74</v>
      </c>
      <c r="E105" s="1" t="s">
        <v>74</v>
      </c>
      <c r="F105" s="1" t="s">
        <v>1235</v>
      </c>
      <c r="G105" s="1" t="s">
        <v>74</v>
      </c>
      <c r="H105" s="1" t="s">
        <v>74</v>
      </c>
      <c r="I105" s="1" t="s">
        <v>1236</v>
      </c>
      <c r="J105" s="1" t="s">
        <v>1237</v>
      </c>
      <c r="K105" s="1" t="s">
        <v>74</v>
      </c>
      <c r="L105" s="1" t="s">
        <v>74</v>
      </c>
      <c r="M105" s="1" t="s">
        <v>74</v>
      </c>
      <c r="N105" s="1" t="s">
        <v>74</v>
      </c>
      <c r="O105" s="1" t="s">
        <v>74</v>
      </c>
      <c r="P105" s="1" t="s">
        <v>74</v>
      </c>
      <c r="Q105" s="1" t="s">
        <v>74</v>
      </c>
      <c r="R105" s="1" t="s">
        <v>74</v>
      </c>
      <c r="S105" s="1" t="s">
        <v>74</v>
      </c>
      <c r="T105" s="1" t="s">
        <v>74</v>
      </c>
      <c r="U105" s="1" t="s">
        <v>74</v>
      </c>
      <c r="V105" s="1" t="s">
        <v>1238</v>
      </c>
      <c r="W105" s="1" t="s">
        <v>74</v>
      </c>
      <c r="X105" s="1" t="s">
        <v>74</v>
      </c>
      <c r="Y105" s="1" t="s">
        <v>74</v>
      </c>
      <c r="Z105" s="1" t="s">
        <v>74</v>
      </c>
      <c r="AA105" s="1" t="s">
        <v>1239</v>
      </c>
      <c r="AB105" s="1" t="s">
        <v>1240</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1241</v>
      </c>
      <c r="AP105" s="1" t="s">
        <v>1242</v>
      </c>
      <c r="AQ105" s="1" t="s">
        <v>74</v>
      </c>
      <c r="AR105" s="1" t="s">
        <v>74</v>
      </c>
      <c r="AS105" s="1" t="s">
        <v>74</v>
      </c>
      <c r="AT105" s="1" t="s">
        <v>74</v>
      </c>
      <c r="AU105" s="1">
        <v>2020.0</v>
      </c>
      <c r="AV105" s="1" t="s">
        <v>74</v>
      </c>
      <c r="AW105" s="1">
        <v>38.0</v>
      </c>
      <c r="AX105" s="1" t="s">
        <v>74</v>
      </c>
      <c r="AY105" s="1" t="s">
        <v>74</v>
      </c>
      <c r="AZ105" s="1" t="s">
        <v>74</v>
      </c>
      <c r="BA105" s="1" t="s">
        <v>74</v>
      </c>
      <c r="BB105" s="1">
        <v>679.0</v>
      </c>
      <c r="BC105" s="1">
        <v>683.0</v>
      </c>
      <c r="BD105" s="1" t="s">
        <v>74</v>
      </c>
      <c r="BE105" s="1" t="s">
        <v>74</v>
      </c>
      <c r="BF105" s="1" t="s">
        <v>74</v>
      </c>
      <c r="BG105" s="1" t="s">
        <v>74</v>
      </c>
      <c r="BH105" s="1" t="s">
        <v>74</v>
      </c>
      <c r="BI105" s="1" t="s">
        <v>74</v>
      </c>
      <c r="BJ105" s="1" t="s">
        <v>74</v>
      </c>
      <c r="BK105" s="1" t="s">
        <v>74</v>
      </c>
      <c r="BL105" s="1" t="s">
        <v>74</v>
      </c>
      <c r="BM105" s="1" t="s">
        <v>74</v>
      </c>
      <c r="BN105" s="1" t="s">
        <v>74</v>
      </c>
      <c r="BO105" s="1" t="s">
        <v>74</v>
      </c>
      <c r="BP105" s="1" t="s">
        <v>74</v>
      </c>
      <c r="BQ105" s="1" t="s">
        <v>74</v>
      </c>
      <c r="BR105" s="1" t="s">
        <v>74</v>
      </c>
      <c r="BS105" s="1" t="s">
        <v>1243</v>
      </c>
      <c r="BT105" s="1" t="str">
        <f>HYPERLINK("https%3A%2F%2Fwww.webofscience.com%2Fwos%2Fwoscc%2Ffull-record%2FWOS:000535742500101","View Full Record in Web of Science")</f>
        <v>View Full Record in Web of Science</v>
      </c>
    </row>
    <row r="106" ht="12.75" customHeight="1">
      <c r="A106" s="1" t="s">
        <v>72</v>
      </c>
      <c r="B106" s="1" t="s">
        <v>1244</v>
      </c>
      <c r="C106" s="1" t="s">
        <v>74</v>
      </c>
      <c r="D106" s="1" t="s">
        <v>74</v>
      </c>
      <c r="E106" s="1" t="s">
        <v>74</v>
      </c>
      <c r="F106" s="1" t="s">
        <v>1245</v>
      </c>
      <c r="G106" s="1" t="s">
        <v>74</v>
      </c>
      <c r="H106" s="1" t="s">
        <v>74</v>
      </c>
      <c r="I106" s="1" t="s">
        <v>1246</v>
      </c>
      <c r="J106" s="1" t="s">
        <v>1247</v>
      </c>
      <c r="K106" s="1" t="s">
        <v>74</v>
      </c>
      <c r="L106" s="1" t="s">
        <v>74</v>
      </c>
      <c r="M106" s="1" t="s">
        <v>74</v>
      </c>
      <c r="N106" s="1" t="s">
        <v>74</v>
      </c>
      <c r="O106" s="1" t="s">
        <v>74</v>
      </c>
      <c r="P106" s="1" t="s">
        <v>74</v>
      </c>
      <c r="Q106" s="1" t="s">
        <v>74</v>
      </c>
      <c r="R106" s="1" t="s">
        <v>74</v>
      </c>
      <c r="S106" s="1" t="s">
        <v>74</v>
      </c>
      <c r="T106" s="1" t="s">
        <v>74</v>
      </c>
      <c r="U106" s="1" t="s">
        <v>74</v>
      </c>
      <c r="V106" s="1" t="s">
        <v>1248</v>
      </c>
      <c r="W106" s="1" t="s">
        <v>74</v>
      </c>
      <c r="X106" s="1" t="s">
        <v>74</v>
      </c>
      <c r="Y106" s="1" t="s">
        <v>74</v>
      </c>
      <c r="Z106" s="1" t="s">
        <v>74</v>
      </c>
      <c r="AA106" s="1" t="s">
        <v>1249</v>
      </c>
      <c r="AB106" s="1" t="s">
        <v>1250</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1251</v>
      </c>
      <c r="AP106" s="1" t="s">
        <v>1252</v>
      </c>
      <c r="AQ106" s="1" t="s">
        <v>74</v>
      </c>
      <c r="AR106" s="1" t="s">
        <v>74</v>
      </c>
      <c r="AS106" s="1" t="s">
        <v>74</v>
      </c>
      <c r="AT106" s="1" t="s">
        <v>141</v>
      </c>
      <c r="AU106" s="1">
        <v>2019.0</v>
      </c>
      <c r="AV106" s="1">
        <v>19.0</v>
      </c>
      <c r="AW106" s="1">
        <v>3.0</v>
      </c>
      <c r="AX106" s="1" t="s">
        <v>74</v>
      </c>
      <c r="AY106" s="1" t="s">
        <v>74</v>
      </c>
      <c r="AZ106" s="1" t="s">
        <v>74</v>
      </c>
      <c r="BA106" s="1" t="s">
        <v>74</v>
      </c>
      <c r="BB106" s="1">
        <v>237.0</v>
      </c>
      <c r="BC106" s="1">
        <v>242.0</v>
      </c>
      <c r="BD106" s="1" t="s">
        <v>74</v>
      </c>
      <c r="BE106" s="1" t="s">
        <v>1253</v>
      </c>
      <c r="BF106" s="2" t="str">
        <f>HYPERLINK("http://dx.doi.org/10.1016/j.ijchp.2019.05.001","http://dx.doi.org/10.1016/j.ijchp.2019.05.001")</f>
        <v>http://dx.doi.org/10.1016/j.ijchp.2019.05.001</v>
      </c>
      <c r="BG106" s="1" t="s">
        <v>74</v>
      </c>
      <c r="BH106" s="1" t="s">
        <v>74</v>
      </c>
      <c r="BI106" s="1" t="s">
        <v>74</v>
      </c>
      <c r="BJ106" s="1" t="s">
        <v>74</v>
      </c>
      <c r="BK106" s="1" t="s">
        <v>74</v>
      </c>
      <c r="BL106" s="1" t="s">
        <v>74</v>
      </c>
      <c r="BM106" s="1" t="s">
        <v>74</v>
      </c>
      <c r="BN106" s="1">
        <v>3.1516502E7</v>
      </c>
      <c r="BO106" s="1" t="s">
        <v>74</v>
      </c>
      <c r="BP106" s="1" t="s">
        <v>74</v>
      </c>
      <c r="BQ106" s="1" t="s">
        <v>74</v>
      </c>
      <c r="BR106" s="1" t="s">
        <v>74</v>
      </c>
      <c r="BS106" s="1" t="s">
        <v>1254</v>
      </c>
      <c r="BT106" s="1" t="str">
        <f>HYPERLINK("https%3A%2F%2Fwww.webofscience.com%2Fwos%2Fwoscc%2Ffull-record%2FWOS:000483457900008","View Full Record in Web of Science")</f>
        <v>View Full Record in Web of Science</v>
      </c>
    </row>
    <row r="107" ht="12.75" customHeight="1">
      <c r="A107" s="1" t="s">
        <v>72</v>
      </c>
      <c r="B107" s="1" t="s">
        <v>1255</v>
      </c>
      <c r="C107" s="1" t="s">
        <v>74</v>
      </c>
      <c r="D107" s="1" t="s">
        <v>74</v>
      </c>
      <c r="E107" s="1" t="s">
        <v>74</v>
      </c>
      <c r="F107" s="1" t="s">
        <v>1256</v>
      </c>
      <c r="G107" s="1" t="s">
        <v>74</v>
      </c>
      <c r="H107" s="1" t="s">
        <v>74</v>
      </c>
      <c r="I107" s="1" t="s">
        <v>1257</v>
      </c>
      <c r="J107" s="1" t="s">
        <v>1258</v>
      </c>
      <c r="K107" s="1" t="s">
        <v>74</v>
      </c>
      <c r="L107" s="1" t="s">
        <v>74</v>
      </c>
      <c r="M107" s="1" t="s">
        <v>74</v>
      </c>
      <c r="N107" s="1" t="s">
        <v>74</v>
      </c>
      <c r="O107" s="1" t="s">
        <v>74</v>
      </c>
      <c r="P107" s="1" t="s">
        <v>74</v>
      </c>
      <c r="Q107" s="1" t="s">
        <v>74</v>
      </c>
      <c r="R107" s="1" t="s">
        <v>74</v>
      </c>
      <c r="S107" s="1" t="s">
        <v>74</v>
      </c>
      <c r="T107" s="1" t="s">
        <v>74</v>
      </c>
      <c r="U107" s="1" t="s">
        <v>74</v>
      </c>
      <c r="V107" s="1" t="s">
        <v>1259</v>
      </c>
      <c r="W107" s="1" t="s">
        <v>74</v>
      </c>
      <c r="X107" s="1" t="s">
        <v>74</v>
      </c>
      <c r="Y107" s="1" t="s">
        <v>74</v>
      </c>
      <c r="Z107" s="1" t="s">
        <v>74</v>
      </c>
      <c r="AA107" s="1" t="s">
        <v>1260</v>
      </c>
      <c r="AB107" s="1" t="s">
        <v>1261</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1262</v>
      </c>
      <c r="AP107" s="1" t="s">
        <v>74</v>
      </c>
      <c r="AQ107" s="1" t="s">
        <v>74</v>
      </c>
      <c r="AR107" s="1" t="s">
        <v>74</v>
      </c>
      <c r="AS107" s="1" t="s">
        <v>74</v>
      </c>
      <c r="AT107" s="1" t="s">
        <v>74</v>
      </c>
      <c r="AU107" s="1">
        <v>2018.0</v>
      </c>
      <c r="AV107" s="1">
        <v>7.0</v>
      </c>
      <c r="AW107" s="1">
        <v>7.0</v>
      </c>
      <c r="AX107" s="1" t="s">
        <v>74</v>
      </c>
      <c r="AY107" s="1" t="s">
        <v>74</v>
      </c>
      <c r="AZ107" s="1" t="s">
        <v>74</v>
      </c>
      <c r="BA107" s="1" t="s">
        <v>74</v>
      </c>
      <c r="BB107" s="1" t="s">
        <v>74</v>
      </c>
      <c r="BC107" s="1" t="s">
        <v>74</v>
      </c>
      <c r="BD107" s="1" t="s">
        <v>1263</v>
      </c>
      <c r="BE107" s="1" t="s">
        <v>1264</v>
      </c>
      <c r="BF107" s="2" t="str">
        <f>HYPERLINK("http://dx.doi.org/10.1080/2162402X.2018.1442163","http://dx.doi.org/10.1080/2162402X.2018.1442163")</f>
        <v>http://dx.doi.org/10.1080/2162402X.2018.1442163</v>
      </c>
      <c r="BG107" s="1" t="s">
        <v>74</v>
      </c>
      <c r="BH107" s="1" t="s">
        <v>74</v>
      </c>
      <c r="BI107" s="1" t="s">
        <v>74</v>
      </c>
      <c r="BJ107" s="1" t="s">
        <v>74</v>
      </c>
      <c r="BK107" s="1" t="s">
        <v>74</v>
      </c>
      <c r="BL107" s="1" t="s">
        <v>74</v>
      </c>
      <c r="BM107" s="1" t="s">
        <v>74</v>
      </c>
      <c r="BN107" s="1">
        <v>2.9900048E7</v>
      </c>
      <c r="BO107" s="1" t="s">
        <v>74</v>
      </c>
      <c r="BP107" s="1" t="s">
        <v>74</v>
      </c>
      <c r="BQ107" s="1" t="s">
        <v>74</v>
      </c>
      <c r="BR107" s="1" t="s">
        <v>74</v>
      </c>
      <c r="BS107" s="1" t="s">
        <v>1265</v>
      </c>
      <c r="BT107" s="1" t="str">
        <f>HYPERLINK("https%3A%2F%2Fwww.webofscience.com%2Fwos%2Fwoscc%2Ffull-record%2FWOS:000433549100012","View Full Record in Web of Science")</f>
        <v>View Full Record in Web of Science</v>
      </c>
    </row>
    <row r="108" ht="12.75" customHeight="1">
      <c r="A108" s="1" t="s">
        <v>72</v>
      </c>
      <c r="B108" s="1" t="s">
        <v>1266</v>
      </c>
      <c r="C108" s="1" t="s">
        <v>74</v>
      </c>
      <c r="D108" s="1" t="s">
        <v>74</v>
      </c>
      <c r="E108" s="1" t="s">
        <v>74</v>
      </c>
      <c r="F108" s="1" t="s">
        <v>1267</v>
      </c>
      <c r="G108" s="1" t="s">
        <v>74</v>
      </c>
      <c r="H108" s="1" t="s">
        <v>74</v>
      </c>
      <c r="I108" s="1" t="s">
        <v>1268</v>
      </c>
      <c r="J108" s="1" t="s">
        <v>1269</v>
      </c>
      <c r="K108" s="1" t="s">
        <v>74</v>
      </c>
      <c r="L108" s="1" t="s">
        <v>74</v>
      </c>
      <c r="M108" s="1" t="s">
        <v>74</v>
      </c>
      <c r="N108" s="1" t="s">
        <v>74</v>
      </c>
      <c r="O108" s="1" t="s">
        <v>74</v>
      </c>
      <c r="P108" s="1" t="s">
        <v>74</v>
      </c>
      <c r="Q108" s="1" t="s">
        <v>74</v>
      </c>
      <c r="R108" s="1" t="s">
        <v>74</v>
      </c>
      <c r="S108" s="1" t="s">
        <v>74</v>
      </c>
      <c r="T108" s="1" t="s">
        <v>74</v>
      </c>
      <c r="U108" s="1" t="s">
        <v>74</v>
      </c>
      <c r="V108" s="1" t="s">
        <v>1270</v>
      </c>
      <c r="W108" s="1" t="s">
        <v>74</v>
      </c>
      <c r="X108" s="1" t="s">
        <v>74</v>
      </c>
      <c r="Y108" s="1" t="s">
        <v>74</v>
      </c>
      <c r="Z108" s="1" t="s">
        <v>74</v>
      </c>
      <c r="AA108" s="1" t="s">
        <v>1271</v>
      </c>
      <c r="AB108" s="1" t="s">
        <v>1272</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1273</v>
      </c>
      <c r="AP108" s="1" t="s">
        <v>1274</v>
      </c>
      <c r="AQ108" s="1" t="s">
        <v>74</v>
      </c>
      <c r="AR108" s="1" t="s">
        <v>74</v>
      </c>
      <c r="AS108" s="1" t="s">
        <v>74</v>
      </c>
      <c r="AT108" s="1" t="s">
        <v>745</v>
      </c>
      <c r="AU108" s="1">
        <v>2024.0</v>
      </c>
      <c r="AV108" s="1">
        <v>129.0</v>
      </c>
      <c r="AW108" s="1">
        <v>7.0</v>
      </c>
      <c r="AX108" s="1" t="s">
        <v>74</v>
      </c>
      <c r="AY108" s="1" t="s">
        <v>74</v>
      </c>
      <c r="AZ108" s="1" t="s">
        <v>74</v>
      </c>
      <c r="BA108" s="1" t="s">
        <v>74</v>
      </c>
      <c r="BB108" s="1" t="s">
        <v>74</v>
      </c>
      <c r="BC108" s="1" t="s">
        <v>74</v>
      </c>
      <c r="BD108" s="1" t="s">
        <v>1275</v>
      </c>
      <c r="BE108" s="1" t="s">
        <v>1276</v>
      </c>
      <c r="BF108" s="2" t="str">
        <f>HYPERLINK("http://dx.doi.org/10.1029/2023JA031949","http://dx.doi.org/10.1029/2023JA031949")</f>
        <v>http://dx.doi.org/10.1029/2023JA031949</v>
      </c>
      <c r="BG108" s="1" t="s">
        <v>74</v>
      </c>
      <c r="BH108" s="1" t="s">
        <v>74</v>
      </c>
      <c r="BI108" s="1" t="s">
        <v>74</v>
      </c>
      <c r="BJ108" s="1" t="s">
        <v>74</v>
      </c>
      <c r="BK108" s="1" t="s">
        <v>74</v>
      </c>
      <c r="BL108" s="1" t="s">
        <v>74</v>
      </c>
      <c r="BM108" s="1" t="s">
        <v>74</v>
      </c>
      <c r="BN108" s="1" t="s">
        <v>74</v>
      </c>
      <c r="BO108" s="1" t="s">
        <v>74</v>
      </c>
      <c r="BP108" s="1" t="s">
        <v>74</v>
      </c>
      <c r="BQ108" s="1" t="s">
        <v>74</v>
      </c>
      <c r="BR108" s="1" t="s">
        <v>74</v>
      </c>
      <c r="BS108" s="1" t="s">
        <v>1277</v>
      </c>
      <c r="BT108" s="1" t="str">
        <f>HYPERLINK("https%3A%2F%2Fwww.webofscience.com%2Fwos%2Fwoscc%2Ffull-record%2FWOS:001259130700001","View Full Record in Web of Science")</f>
        <v>View Full Record in Web of Science</v>
      </c>
    </row>
    <row r="109" ht="12.75" customHeight="1">
      <c r="A109" s="1" t="s">
        <v>72</v>
      </c>
      <c r="B109" s="1" t="s">
        <v>1278</v>
      </c>
      <c r="C109" s="1" t="s">
        <v>74</v>
      </c>
      <c r="D109" s="1" t="s">
        <v>74</v>
      </c>
      <c r="E109" s="1" t="s">
        <v>74</v>
      </c>
      <c r="F109" s="1" t="s">
        <v>1279</v>
      </c>
      <c r="G109" s="1" t="s">
        <v>74</v>
      </c>
      <c r="H109" s="1" t="s">
        <v>74</v>
      </c>
      <c r="I109" s="1" t="s">
        <v>1280</v>
      </c>
      <c r="J109" s="1" t="s">
        <v>1281</v>
      </c>
      <c r="K109" s="1" t="s">
        <v>74</v>
      </c>
      <c r="L109" s="1" t="s">
        <v>74</v>
      </c>
      <c r="M109" s="1" t="s">
        <v>74</v>
      </c>
      <c r="N109" s="1" t="s">
        <v>74</v>
      </c>
      <c r="O109" s="1" t="s">
        <v>74</v>
      </c>
      <c r="P109" s="1" t="s">
        <v>74</v>
      </c>
      <c r="Q109" s="1" t="s">
        <v>74</v>
      </c>
      <c r="R109" s="1" t="s">
        <v>74</v>
      </c>
      <c r="S109" s="1" t="s">
        <v>74</v>
      </c>
      <c r="T109" s="1" t="s">
        <v>74</v>
      </c>
      <c r="U109" s="1" t="s">
        <v>74</v>
      </c>
      <c r="V109" s="1" t="s">
        <v>1282</v>
      </c>
      <c r="W109" s="1" t="s">
        <v>74</v>
      </c>
      <c r="X109" s="1" t="s">
        <v>74</v>
      </c>
      <c r="Y109" s="1" t="s">
        <v>74</v>
      </c>
      <c r="Z109" s="1" t="s">
        <v>74</v>
      </c>
      <c r="AA109" s="1" t="s">
        <v>1283</v>
      </c>
      <c r="AB109" s="1" t="s">
        <v>1284</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74</v>
      </c>
      <c r="AP109" s="1" t="s">
        <v>1285</v>
      </c>
      <c r="AQ109" s="1" t="s">
        <v>74</v>
      </c>
      <c r="AR109" s="1" t="s">
        <v>74</v>
      </c>
      <c r="AS109" s="1" t="s">
        <v>74</v>
      </c>
      <c r="AT109" s="1" t="s">
        <v>346</v>
      </c>
      <c r="AU109" s="1">
        <v>2023.0</v>
      </c>
      <c r="AV109" s="1">
        <v>9.0</v>
      </c>
      <c r="AW109" s="1">
        <v>3.0</v>
      </c>
      <c r="AX109" s="1" t="s">
        <v>74</v>
      </c>
      <c r="AY109" s="1" t="s">
        <v>74</v>
      </c>
      <c r="AZ109" s="1" t="s">
        <v>74</v>
      </c>
      <c r="BA109" s="1" t="s">
        <v>74</v>
      </c>
      <c r="BB109" s="1" t="s">
        <v>74</v>
      </c>
      <c r="BC109" s="1" t="s">
        <v>74</v>
      </c>
      <c r="BD109" s="1">
        <v>359.0</v>
      </c>
      <c r="BE109" s="1" t="s">
        <v>1286</v>
      </c>
      <c r="BF109" s="2" t="str">
        <f>HYPERLINK("http://dx.doi.org/10.3390/horticulturae9030359","http://dx.doi.org/10.3390/horticulturae9030359")</f>
        <v>http://dx.doi.org/10.3390/horticulturae9030359</v>
      </c>
      <c r="BG109" s="1" t="s">
        <v>74</v>
      </c>
      <c r="BH109" s="1" t="s">
        <v>74</v>
      </c>
      <c r="BI109" s="1" t="s">
        <v>74</v>
      </c>
      <c r="BJ109" s="1" t="s">
        <v>74</v>
      </c>
      <c r="BK109" s="1" t="s">
        <v>74</v>
      </c>
      <c r="BL109" s="1" t="s">
        <v>74</v>
      </c>
      <c r="BM109" s="1" t="s">
        <v>74</v>
      </c>
      <c r="BN109" s="1" t="s">
        <v>74</v>
      </c>
      <c r="BO109" s="1" t="s">
        <v>74</v>
      </c>
      <c r="BP109" s="1" t="s">
        <v>74</v>
      </c>
      <c r="BQ109" s="1" t="s">
        <v>74</v>
      </c>
      <c r="BR109" s="1" t="s">
        <v>74</v>
      </c>
      <c r="BS109" s="1" t="s">
        <v>1287</v>
      </c>
      <c r="BT109" s="1" t="str">
        <f>HYPERLINK("https%3A%2F%2Fwww.webofscience.com%2Fwos%2Fwoscc%2Ffull-record%2FWOS:000957829300001","View Full Record in Web of Science")</f>
        <v>View Full Record in Web of Science</v>
      </c>
    </row>
    <row r="110" ht="12.75" customHeight="1">
      <c r="A110" s="1" t="s">
        <v>72</v>
      </c>
      <c r="B110" s="1" t="s">
        <v>1288</v>
      </c>
      <c r="C110" s="1" t="s">
        <v>74</v>
      </c>
      <c r="D110" s="1" t="s">
        <v>74</v>
      </c>
      <c r="E110" s="1" t="s">
        <v>74</v>
      </c>
      <c r="F110" s="1" t="s">
        <v>1289</v>
      </c>
      <c r="G110" s="1" t="s">
        <v>74</v>
      </c>
      <c r="H110" s="1" t="s">
        <v>74</v>
      </c>
      <c r="I110" s="1" t="s">
        <v>1290</v>
      </c>
      <c r="J110" s="1" t="s">
        <v>1291</v>
      </c>
      <c r="K110" s="1" t="s">
        <v>74</v>
      </c>
      <c r="L110" s="1" t="s">
        <v>74</v>
      </c>
      <c r="M110" s="1" t="s">
        <v>74</v>
      </c>
      <c r="N110" s="1" t="s">
        <v>74</v>
      </c>
      <c r="O110" s="1" t="s">
        <v>74</v>
      </c>
      <c r="P110" s="1" t="s">
        <v>74</v>
      </c>
      <c r="Q110" s="1" t="s">
        <v>74</v>
      </c>
      <c r="R110" s="1" t="s">
        <v>74</v>
      </c>
      <c r="S110" s="1" t="s">
        <v>74</v>
      </c>
      <c r="T110" s="1" t="s">
        <v>74</v>
      </c>
      <c r="U110" s="1" t="s">
        <v>74</v>
      </c>
      <c r="V110" s="1" t="s">
        <v>74</v>
      </c>
      <c r="W110" s="1" t="s">
        <v>74</v>
      </c>
      <c r="X110" s="1" t="s">
        <v>74</v>
      </c>
      <c r="Y110" s="1" t="s">
        <v>74</v>
      </c>
      <c r="Z110" s="1" t="s">
        <v>74</v>
      </c>
      <c r="AA110" s="1" t="s">
        <v>1292</v>
      </c>
      <c r="AB110" s="1" t="s">
        <v>74</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1293</v>
      </c>
      <c r="AP110" s="1" t="s">
        <v>74</v>
      </c>
      <c r="AQ110" s="1" t="s">
        <v>74</v>
      </c>
      <c r="AR110" s="1" t="s">
        <v>74</v>
      </c>
      <c r="AS110" s="1" t="s">
        <v>74</v>
      </c>
      <c r="AT110" s="1" t="s">
        <v>74</v>
      </c>
      <c r="AU110" s="1">
        <v>2022.0</v>
      </c>
      <c r="AV110" s="1" t="s">
        <v>74</v>
      </c>
      <c r="AW110" s="1" t="s">
        <v>74</v>
      </c>
      <c r="AX110" s="1" t="s">
        <v>74</v>
      </c>
      <c r="AY110" s="1" t="s">
        <v>74</v>
      </c>
      <c r="AZ110" s="1" t="s">
        <v>74</v>
      </c>
      <c r="BA110" s="1" t="s">
        <v>74</v>
      </c>
      <c r="BB110" s="1" t="s">
        <v>74</v>
      </c>
      <c r="BC110" s="1" t="s">
        <v>74</v>
      </c>
      <c r="BD110" s="1" t="s">
        <v>74</v>
      </c>
      <c r="BE110" s="1" t="s">
        <v>74</v>
      </c>
      <c r="BF110" s="1" t="s">
        <v>74</v>
      </c>
      <c r="BG110" s="1" t="s">
        <v>74</v>
      </c>
      <c r="BH110" s="1" t="s">
        <v>74</v>
      </c>
      <c r="BI110" s="1" t="s">
        <v>74</v>
      </c>
      <c r="BJ110" s="1" t="s">
        <v>74</v>
      </c>
      <c r="BK110" s="1" t="s">
        <v>74</v>
      </c>
      <c r="BL110" s="1" t="s">
        <v>74</v>
      </c>
      <c r="BM110" s="1" t="s">
        <v>74</v>
      </c>
      <c r="BN110" s="1" t="s">
        <v>74</v>
      </c>
      <c r="BO110" s="1" t="s">
        <v>74</v>
      </c>
      <c r="BP110" s="1" t="s">
        <v>74</v>
      </c>
      <c r="BQ110" s="1" t="s">
        <v>74</v>
      </c>
      <c r="BR110" s="1" t="s">
        <v>74</v>
      </c>
      <c r="BS110" s="1" t="s">
        <v>1294</v>
      </c>
      <c r="BT110" s="1" t="str">
        <f>HYPERLINK("https%3A%2F%2Fwww.webofscience.com%2Fwos%2Fwoscc%2Ffull-record%2FWOS:000899682200010","View Full Record in Web of Science")</f>
        <v>View Full Record in Web of Science</v>
      </c>
    </row>
    <row r="111" ht="12.75" customHeight="1">
      <c r="A111" s="1" t="s">
        <v>72</v>
      </c>
      <c r="B111" s="1" t="s">
        <v>1295</v>
      </c>
      <c r="C111" s="1" t="s">
        <v>74</v>
      </c>
      <c r="D111" s="1" t="s">
        <v>74</v>
      </c>
      <c r="E111" s="1" t="s">
        <v>74</v>
      </c>
      <c r="F111" s="1" t="s">
        <v>1296</v>
      </c>
      <c r="G111" s="1" t="s">
        <v>74</v>
      </c>
      <c r="H111" s="1" t="s">
        <v>74</v>
      </c>
      <c r="I111" s="1" t="s">
        <v>1297</v>
      </c>
      <c r="J111" s="1" t="s">
        <v>606</v>
      </c>
      <c r="K111" s="1" t="s">
        <v>74</v>
      </c>
      <c r="L111" s="1" t="s">
        <v>74</v>
      </c>
      <c r="M111" s="1" t="s">
        <v>74</v>
      </c>
      <c r="N111" s="1" t="s">
        <v>74</v>
      </c>
      <c r="O111" s="1" t="s">
        <v>74</v>
      </c>
      <c r="P111" s="1" t="s">
        <v>74</v>
      </c>
      <c r="Q111" s="1" t="s">
        <v>74</v>
      </c>
      <c r="R111" s="1" t="s">
        <v>74</v>
      </c>
      <c r="S111" s="1" t="s">
        <v>74</v>
      </c>
      <c r="T111" s="1" t="s">
        <v>74</v>
      </c>
      <c r="U111" s="1" t="s">
        <v>74</v>
      </c>
      <c r="V111" s="1" t="s">
        <v>1298</v>
      </c>
      <c r="W111" s="1" t="s">
        <v>74</v>
      </c>
      <c r="X111" s="1" t="s">
        <v>74</v>
      </c>
      <c r="Y111" s="1" t="s">
        <v>74</v>
      </c>
      <c r="Z111" s="1" t="s">
        <v>74</v>
      </c>
      <c r="AA111" s="1" t="s">
        <v>1299</v>
      </c>
      <c r="AB111" s="1" t="s">
        <v>1300</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74</v>
      </c>
      <c r="AP111" s="1" t="s">
        <v>610</v>
      </c>
      <c r="AQ111" s="1" t="s">
        <v>74</v>
      </c>
      <c r="AR111" s="1" t="s">
        <v>74</v>
      </c>
      <c r="AS111" s="1" t="s">
        <v>74</v>
      </c>
      <c r="AT111" s="1" t="s">
        <v>74</v>
      </c>
      <c r="AU111" s="1">
        <v>2016.0</v>
      </c>
      <c r="AV111" s="1">
        <v>6.0</v>
      </c>
      <c r="AW111" s="1">
        <v>63.0</v>
      </c>
      <c r="AX111" s="1" t="s">
        <v>74</v>
      </c>
      <c r="AY111" s="1" t="s">
        <v>74</v>
      </c>
      <c r="AZ111" s="1" t="s">
        <v>74</v>
      </c>
      <c r="BA111" s="1" t="s">
        <v>74</v>
      </c>
      <c r="BB111" s="1">
        <v>57948.0</v>
      </c>
      <c r="BC111" s="1">
        <v>57955.0</v>
      </c>
      <c r="BD111" s="1" t="s">
        <v>74</v>
      </c>
      <c r="BE111" s="1" t="s">
        <v>1301</v>
      </c>
      <c r="BF111" s="2" t="str">
        <f>HYPERLINK("http://dx.doi.org/10.1039/c6ra12859a","http://dx.doi.org/10.1039/c6ra12859a")</f>
        <v>http://dx.doi.org/10.1039/c6ra12859a</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1302</v>
      </c>
      <c r="BT111" s="1" t="str">
        <f>HYPERLINK("https%3A%2F%2Fwww.webofscience.com%2Fwos%2Fwoscc%2Ffull-record%2FWOS:000378725800021","View Full Record in Web of Science")</f>
        <v>View Full Record in Web of Science</v>
      </c>
    </row>
    <row r="112" ht="12.75" customHeight="1">
      <c r="A112" s="1" t="s">
        <v>1303</v>
      </c>
      <c r="B112" s="1" t="s">
        <v>1304</v>
      </c>
      <c r="C112" s="1" t="s">
        <v>74</v>
      </c>
      <c r="D112" s="1" t="s">
        <v>1305</v>
      </c>
      <c r="E112" s="1" t="s">
        <v>74</v>
      </c>
      <c r="F112" s="1" t="s">
        <v>1304</v>
      </c>
      <c r="G112" s="1" t="s">
        <v>74</v>
      </c>
      <c r="H112" s="1" t="s">
        <v>74</v>
      </c>
      <c r="I112" s="1" t="s">
        <v>1306</v>
      </c>
      <c r="J112" s="1" t="s">
        <v>1307</v>
      </c>
      <c r="K112" s="1" t="s">
        <v>1308</v>
      </c>
      <c r="L112" s="1" t="s">
        <v>74</v>
      </c>
      <c r="M112" s="1" t="s">
        <v>74</v>
      </c>
      <c r="N112" s="1" t="s">
        <v>74</v>
      </c>
      <c r="O112" s="1" t="s">
        <v>1309</v>
      </c>
      <c r="P112" s="1" t="s">
        <v>1310</v>
      </c>
      <c r="Q112" s="1" t="s">
        <v>1311</v>
      </c>
      <c r="R112" s="1" t="s">
        <v>1312</v>
      </c>
      <c r="S112" s="1" t="s">
        <v>74</v>
      </c>
      <c r="T112" s="1" t="s">
        <v>74</v>
      </c>
      <c r="U112" s="1" t="s">
        <v>74</v>
      </c>
      <c r="V112" s="1" t="s">
        <v>1313</v>
      </c>
      <c r="W112" s="1" t="s">
        <v>74</v>
      </c>
      <c r="X112" s="1" t="s">
        <v>74</v>
      </c>
      <c r="Y112" s="1" t="s">
        <v>74</v>
      </c>
      <c r="Z112" s="1" t="s">
        <v>74</v>
      </c>
      <c r="AA112" s="1" t="s">
        <v>1314</v>
      </c>
      <c r="AB112" s="1" t="s">
        <v>1315</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1316</v>
      </c>
      <c r="AP112" s="1" t="s">
        <v>74</v>
      </c>
      <c r="AQ112" s="1" t="s">
        <v>74</v>
      </c>
      <c r="AR112" s="1" t="s">
        <v>74</v>
      </c>
      <c r="AS112" s="1" t="s">
        <v>74</v>
      </c>
      <c r="AT112" s="1" t="s">
        <v>74</v>
      </c>
      <c r="AU112" s="1">
        <v>2001.0</v>
      </c>
      <c r="AV112" s="1">
        <v>28.0</v>
      </c>
      <c r="AW112" s="1">
        <v>11.0</v>
      </c>
      <c r="AX112" s="1" t="s">
        <v>74</v>
      </c>
      <c r="AY112" s="1" t="s">
        <v>74</v>
      </c>
      <c r="AZ112" s="1" t="s">
        <v>74</v>
      </c>
      <c r="BA112" s="1" t="s">
        <v>74</v>
      </c>
      <c r="BB112" s="1">
        <v>1581.0</v>
      </c>
      <c r="BC112" s="1">
        <v>1586.0</v>
      </c>
      <c r="BD112" s="1" t="s">
        <v>74</v>
      </c>
      <c r="BE112" s="1" t="s">
        <v>1317</v>
      </c>
      <c r="BF112" s="2" t="str">
        <f>HYPERLINK("http://dx.doi.org/10.1016/S0273-1177(01)00477-X","http://dx.doi.org/10.1016/S0273-1177(01)00477-X")</f>
        <v>http://dx.doi.org/10.1016/S0273-1177(01)00477-X</v>
      </c>
      <c r="BG112" s="1" t="s">
        <v>74</v>
      </c>
      <c r="BH112" s="1" t="s">
        <v>74</v>
      </c>
      <c r="BI112" s="1" t="s">
        <v>74</v>
      </c>
      <c r="BJ112" s="1" t="s">
        <v>74</v>
      </c>
      <c r="BK112" s="1" t="s">
        <v>74</v>
      </c>
      <c r="BL112" s="1" t="s">
        <v>74</v>
      </c>
      <c r="BM112" s="1" t="s">
        <v>74</v>
      </c>
      <c r="BN112" s="1" t="s">
        <v>74</v>
      </c>
      <c r="BO112" s="1" t="s">
        <v>74</v>
      </c>
      <c r="BP112" s="1" t="s">
        <v>74</v>
      </c>
      <c r="BQ112" s="1" t="s">
        <v>74</v>
      </c>
      <c r="BR112" s="1" t="s">
        <v>74</v>
      </c>
      <c r="BS112" s="1" t="s">
        <v>1318</v>
      </c>
      <c r="BT112" s="1" t="str">
        <f>HYPERLINK("https%3A%2F%2Fwww.webofscience.com%2Fwos%2Fwoscc%2Ffull-record%2FWOS:000173496800002","View Full Record in Web of Science")</f>
        <v>View Full Record in Web of Science</v>
      </c>
    </row>
    <row r="113" ht="12.75" customHeight="1">
      <c r="A113" s="1" t="s">
        <v>72</v>
      </c>
      <c r="B113" s="1" t="s">
        <v>1319</v>
      </c>
      <c r="C113" s="1" t="s">
        <v>74</v>
      </c>
      <c r="D113" s="1" t="s">
        <v>74</v>
      </c>
      <c r="E113" s="1" t="s">
        <v>74</v>
      </c>
      <c r="F113" s="1" t="s">
        <v>1320</v>
      </c>
      <c r="G113" s="1" t="s">
        <v>74</v>
      </c>
      <c r="H113" s="1" t="s">
        <v>74</v>
      </c>
      <c r="I113" s="1" t="s">
        <v>1321</v>
      </c>
      <c r="J113" s="1" t="s">
        <v>1322</v>
      </c>
      <c r="K113" s="1" t="s">
        <v>74</v>
      </c>
      <c r="L113" s="1" t="s">
        <v>74</v>
      </c>
      <c r="M113" s="1" t="s">
        <v>74</v>
      </c>
      <c r="N113" s="1" t="s">
        <v>74</v>
      </c>
      <c r="O113" s="1" t="s">
        <v>74</v>
      </c>
      <c r="P113" s="1" t="s">
        <v>74</v>
      </c>
      <c r="Q113" s="1" t="s">
        <v>74</v>
      </c>
      <c r="R113" s="1" t="s">
        <v>74</v>
      </c>
      <c r="S113" s="1" t="s">
        <v>74</v>
      </c>
      <c r="T113" s="1" t="s">
        <v>74</v>
      </c>
      <c r="U113" s="1" t="s">
        <v>74</v>
      </c>
      <c r="V113" s="1" t="s">
        <v>1323</v>
      </c>
      <c r="W113" s="1" t="s">
        <v>74</v>
      </c>
      <c r="X113" s="1" t="s">
        <v>74</v>
      </c>
      <c r="Y113" s="1" t="s">
        <v>74</v>
      </c>
      <c r="Z113" s="1" t="s">
        <v>74</v>
      </c>
      <c r="AA113" s="1" t="s">
        <v>1324</v>
      </c>
      <c r="AB113" s="1" t="s">
        <v>1325</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1326</v>
      </c>
      <c r="AP113" s="1" t="s">
        <v>1327</v>
      </c>
      <c r="AQ113" s="1" t="s">
        <v>74</v>
      </c>
      <c r="AR113" s="1" t="s">
        <v>74</v>
      </c>
      <c r="AS113" s="1" t="s">
        <v>74</v>
      </c>
      <c r="AT113" s="1" t="s">
        <v>392</v>
      </c>
      <c r="AU113" s="1">
        <v>2024.0</v>
      </c>
      <c r="AV113" s="1">
        <v>1534.0</v>
      </c>
      <c r="AW113" s="1">
        <v>1.0</v>
      </c>
      <c r="AX113" s="1" t="s">
        <v>74</v>
      </c>
      <c r="AY113" s="1" t="s">
        <v>74</v>
      </c>
      <c r="AZ113" s="1" t="s">
        <v>74</v>
      </c>
      <c r="BA113" s="1" t="s">
        <v>74</v>
      </c>
      <c r="BB113" s="1">
        <v>106.0</v>
      </c>
      <c r="BC113" s="1">
        <v>117.0</v>
      </c>
      <c r="BD113" s="1" t="s">
        <v>74</v>
      </c>
      <c r="BE113" s="1" t="s">
        <v>1328</v>
      </c>
      <c r="BF113" s="2" t="str">
        <f>HYPERLINK("http://dx.doi.org/10.1111/nyas.15113","http://dx.doi.org/10.1111/nyas.15113")</f>
        <v>http://dx.doi.org/10.1111/nyas.15113</v>
      </c>
      <c r="BG113" s="1" t="s">
        <v>74</v>
      </c>
      <c r="BH113" s="1" t="s">
        <v>1329</v>
      </c>
      <c r="BI113" s="1" t="s">
        <v>74</v>
      </c>
      <c r="BJ113" s="1" t="s">
        <v>74</v>
      </c>
      <c r="BK113" s="1" t="s">
        <v>74</v>
      </c>
      <c r="BL113" s="1" t="s">
        <v>74</v>
      </c>
      <c r="BM113" s="1" t="s">
        <v>74</v>
      </c>
      <c r="BN113" s="1">
        <v>3.8419368E7</v>
      </c>
      <c r="BO113" s="1" t="s">
        <v>74</v>
      </c>
      <c r="BP113" s="1" t="s">
        <v>74</v>
      </c>
      <c r="BQ113" s="1" t="s">
        <v>74</v>
      </c>
      <c r="BR113" s="1" t="s">
        <v>74</v>
      </c>
      <c r="BS113" s="1" t="s">
        <v>1330</v>
      </c>
      <c r="BT113" s="1" t="str">
        <f>HYPERLINK("https%3A%2F%2Fwww.webofscience.com%2Fwos%2Fwoscc%2Ffull-record%2FWOS:001178051800001","View Full Record in Web of Science")</f>
        <v>View Full Record in Web of Science</v>
      </c>
    </row>
    <row r="114" ht="12.75" customHeight="1">
      <c r="A114" s="1" t="s">
        <v>72</v>
      </c>
      <c r="B114" s="1" t="s">
        <v>1331</v>
      </c>
      <c r="C114" s="1" t="s">
        <v>74</v>
      </c>
      <c r="D114" s="1" t="s">
        <v>74</v>
      </c>
      <c r="E114" s="1" t="s">
        <v>74</v>
      </c>
      <c r="F114" s="1" t="s">
        <v>1332</v>
      </c>
      <c r="G114" s="1" t="s">
        <v>74</v>
      </c>
      <c r="H114" s="1" t="s">
        <v>74</v>
      </c>
      <c r="I114" s="1" t="s">
        <v>1333</v>
      </c>
      <c r="J114" s="1" t="s">
        <v>101</v>
      </c>
      <c r="K114" s="1" t="s">
        <v>74</v>
      </c>
      <c r="L114" s="1" t="s">
        <v>74</v>
      </c>
      <c r="M114" s="1" t="s">
        <v>74</v>
      </c>
      <c r="N114" s="1" t="s">
        <v>74</v>
      </c>
      <c r="O114" s="1" t="s">
        <v>74</v>
      </c>
      <c r="P114" s="1" t="s">
        <v>74</v>
      </c>
      <c r="Q114" s="1" t="s">
        <v>74</v>
      </c>
      <c r="R114" s="1" t="s">
        <v>74</v>
      </c>
      <c r="S114" s="1" t="s">
        <v>74</v>
      </c>
      <c r="T114" s="1" t="s">
        <v>74</v>
      </c>
      <c r="U114" s="1" t="s">
        <v>74</v>
      </c>
      <c r="V114" s="1" t="s">
        <v>1334</v>
      </c>
      <c r="W114" s="1" t="s">
        <v>74</v>
      </c>
      <c r="X114" s="1" t="s">
        <v>74</v>
      </c>
      <c r="Y114" s="1" t="s">
        <v>74</v>
      </c>
      <c r="Z114" s="1" t="s">
        <v>74</v>
      </c>
      <c r="AA114" s="1" t="s">
        <v>1335</v>
      </c>
      <c r="AB114" s="1" t="s">
        <v>1336</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74</v>
      </c>
      <c r="AP114" s="1" t="s">
        <v>105</v>
      </c>
      <c r="AQ114" s="1" t="s">
        <v>74</v>
      </c>
      <c r="AR114" s="1" t="s">
        <v>74</v>
      </c>
      <c r="AS114" s="1" t="s">
        <v>74</v>
      </c>
      <c r="AT114" s="1" t="s">
        <v>264</v>
      </c>
      <c r="AU114" s="1">
        <v>2024.0</v>
      </c>
      <c r="AV114" s="1">
        <v>29.0</v>
      </c>
      <c r="AW114" s="1">
        <v>1.0</v>
      </c>
      <c r="AX114" s="1" t="s">
        <v>74</v>
      </c>
      <c r="AY114" s="1" t="s">
        <v>74</v>
      </c>
      <c r="AZ114" s="1" t="s">
        <v>74</v>
      </c>
      <c r="BA114" s="1" t="s">
        <v>74</v>
      </c>
      <c r="BB114" s="1" t="s">
        <v>74</v>
      </c>
      <c r="BC114" s="1" t="s">
        <v>74</v>
      </c>
      <c r="BD114" s="1">
        <v>47.0</v>
      </c>
      <c r="BE114" s="1" t="s">
        <v>1337</v>
      </c>
      <c r="BF114" s="2" t="str">
        <f>HYPERLINK("http://dx.doi.org/10.3390/molecules29010047","http://dx.doi.org/10.3390/molecules29010047")</f>
        <v>http://dx.doi.org/10.3390/molecules29010047</v>
      </c>
      <c r="BG114" s="1" t="s">
        <v>74</v>
      </c>
      <c r="BH114" s="1" t="s">
        <v>74</v>
      </c>
      <c r="BI114" s="1" t="s">
        <v>74</v>
      </c>
      <c r="BJ114" s="1" t="s">
        <v>74</v>
      </c>
      <c r="BK114" s="1" t="s">
        <v>74</v>
      </c>
      <c r="BL114" s="1" t="s">
        <v>74</v>
      </c>
      <c r="BM114" s="1" t="s">
        <v>74</v>
      </c>
      <c r="BN114" s="1">
        <v>3.820263E7</v>
      </c>
      <c r="BO114" s="1" t="s">
        <v>74</v>
      </c>
      <c r="BP114" s="1" t="s">
        <v>74</v>
      </c>
      <c r="BQ114" s="1" t="s">
        <v>74</v>
      </c>
      <c r="BR114" s="1" t="s">
        <v>74</v>
      </c>
      <c r="BS114" s="1" t="s">
        <v>1338</v>
      </c>
      <c r="BT114" s="1" t="str">
        <f>HYPERLINK("https%3A%2F%2Fwww.webofscience.com%2Fwos%2Fwoscc%2Ffull-record%2FWOS:001140336400001","View Full Record in Web of Science")</f>
        <v>View Full Record in Web of Science</v>
      </c>
    </row>
    <row r="115" ht="12.75" customHeight="1">
      <c r="A115" s="1" t="s">
        <v>72</v>
      </c>
      <c r="B115" s="1" t="s">
        <v>1339</v>
      </c>
      <c r="C115" s="1" t="s">
        <v>74</v>
      </c>
      <c r="D115" s="1" t="s">
        <v>74</v>
      </c>
      <c r="E115" s="1" t="s">
        <v>74</v>
      </c>
      <c r="F115" s="1" t="s">
        <v>1340</v>
      </c>
      <c r="G115" s="1" t="s">
        <v>74</v>
      </c>
      <c r="H115" s="1" t="s">
        <v>74</v>
      </c>
      <c r="I115" s="1" t="s">
        <v>1341</v>
      </c>
      <c r="J115" s="1" t="s">
        <v>1024</v>
      </c>
      <c r="K115" s="1" t="s">
        <v>74</v>
      </c>
      <c r="L115" s="1" t="s">
        <v>74</v>
      </c>
      <c r="M115" s="1" t="s">
        <v>74</v>
      </c>
      <c r="N115" s="1" t="s">
        <v>74</v>
      </c>
      <c r="O115" s="1" t="s">
        <v>74</v>
      </c>
      <c r="P115" s="1" t="s">
        <v>74</v>
      </c>
      <c r="Q115" s="1" t="s">
        <v>74</v>
      </c>
      <c r="R115" s="1" t="s">
        <v>74</v>
      </c>
      <c r="S115" s="1" t="s">
        <v>74</v>
      </c>
      <c r="T115" s="1" t="s">
        <v>74</v>
      </c>
      <c r="U115" s="1" t="s">
        <v>74</v>
      </c>
      <c r="V115" s="1" t="s">
        <v>1342</v>
      </c>
      <c r="W115" s="1" t="s">
        <v>74</v>
      </c>
      <c r="X115" s="1" t="s">
        <v>74</v>
      </c>
      <c r="Y115" s="1" t="s">
        <v>74</v>
      </c>
      <c r="Z115" s="1" t="s">
        <v>74</v>
      </c>
      <c r="AA115" s="1" t="s">
        <v>1343</v>
      </c>
      <c r="AB115" s="1" t="s">
        <v>1344</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1028</v>
      </c>
      <c r="AP115" s="1" t="s">
        <v>1029</v>
      </c>
      <c r="AQ115" s="1" t="s">
        <v>74</v>
      </c>
      <c r="AR115" s="1" t="s">
        <v>74</v>
      </c>
      <c r="AS115" s="1" t="s">
        <v>74</v>
      </c>
      <c r="AT115" s="1" t="s">
        <v>1345</v>
      </c>
      <c r="AU115" s="1">
        <v>2023.0</v>
      </c>
      <c r="AV115" s="1">
        <v>527.0</v>
      </c>
      <c r="AW115" s="1">
        <v>4.0</v>
      </c>
      <c r="AX115" s="1" t="s">
        <v>74</v>
      </c>
      <c r="AY115" s="1" t="s">
        <v>74</v>
      </c>
      <c r="AZ115" s="1" t="s">
        <v>74</v>
      </c>
      <c r="BA115" s="1" t="s">
        <v>74</v>
      </c>
      <c r="BB115" s="1">
        <v>9655.0</v>
      </c>
      <c r="BC115" s="1">
        <v>9667.0</v>
      </c>
      <c r="BD115" s="1" t="s">
        <v>74</v>
      </c>
      <c r="BE115" s="1" t="s">
        <v>1346</v>
      </c>
      <c r="BF115" s="2" t="str">
        <f>HYPERLINK("http://dx.doi.org/10.1093/mnras/stad3734","http://dx.doi.org/10.1093/mnras/stad3734")</f>
        <v>http://dx.doi.org/10.1093/mnras/stad3734</v>
      </c>
      <c r="BG115" s="1" t="s">
        <v>74</v>
      </c>
      <c r="BH115" s="1" t="s">
        <v>1176</v>
      </c>
      <c r="BI115" s="1" t="s">
        <v>74</v>
      </c>
      <c r="BJ115" s="1" t="s">
        <v>74</v>
      </c>
      <c r="BK115" s="1" t="s">
        <v>74</v>
      </c>
      <c r="BL115" s="1" t="s">
        <v>74</v>
      </c>
      <c r="BM115" s="1" t="s">
        <v>74</v>
      </c>
      <c r="BN115" s="1" t="s">
        <v>74</v>
      </c>
      <c r="BO115" s="1" t="s">
        <v>74</v>
      </c>
      <c r="BP115" s="1" t="s">
        <v>74</v>
      </c>
      <c r="BQ115" s="1" t="s">
        <v>74</v>
      </c>
      <c r="BR115" s="1" t="s">
        <v>74</v>
      </c>
      <c r="BS115" s="1" t="s">
        <v>1347</v>
      </c>
      <c r="BT115" s="1" t="str">
        <f>HYPERLINK("https%3A%2F%2Fwww.webofscience.com%2Fwos%2Fwoscc%2Ffull-record%2FWOS:001133672400012","View Full Record in Web of Science")</f>
        <v>View Full Record in Web of Science</v>
      </c>
    </row>
    <row r="116" ht="12.75" customHeight="1">
      <c r="A116" s="1" t="s">
        <v>72</v>
      </c>
      <c r="B116" s="1" t="s">
        <v>1348</v>
      </c>
      <c r="C116" s="1" t="s">
        <v>74</v>
      </c>
      <c r="D116" s="1" t="s">
        <v>74</v>
      </c>
      <c r="E116" s="1" t="s">
        <v>74</v>
      </c>
      <c r="F116" s="1" t="s">
        <v>1349</v>
      </c>
      <c r="G116" s="1" t="s">
        <v>74</v>
      </c>
      <c r="H116" s="1" t="s">
        <v>74</v>
      </c>
      <c r="I116" s="1" t="s">
        <v>1350</v>
      </c>
      <c r="J116" s="1" t="s">
        <v>1351</v>
      </c>
      <c r="K116" s="1" t="s">
        <v>74</v>
      </c>
      <c r="L116" s="1" t="s">
        <v>74</v>
      </c>
      <c r="M116" s="1" t="s">
        <v>74</v>
      </c>
      <c r="N116" s="1" t="s">
        <v>74</v>
      </c>
      <c r="O116" s="1" t="s">
        <v>74</v>
      </c>
      <c r="P116" s="1" t="s">
        <v>74</v>
      </c>
      <c r="Q116" s="1" t="s">
        <v>74</v>
      </c>
      <c r="R116" s="1" t="s">
        <v>74</v>
      </c>
      <c r="S116" s="1" t="s">
        <v>74</v>
      </c>
      <c r="T116" s="1" t="s">
        <v>74</v>
      </c>
      <c r="U116" s="1" t="s">
        <v>74</v>
      </c>
      <c r="V116" s="1" t="s">
        <v>1352</v>
      </c>
      <c r="W116" s="1" t="s">
        <v>74</v>
      </c>
      <c r="X116" s="1" t="s">
        <v>74</v>
      </c>
      <c r="Y116" s="1" t="s">
        <v>74</v>
      </c>
      <c r="Z116" s="1" t="s">
        <v>74</v>
      </c>
      <c r="AA116" s="1" t="s">
        <v>1353</v>
      </c>
      <c r="AB116" s="1" t="s">
        <v>1354</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1355</v>
      </c>
      <c r="AP116" s="1" t="s">
        <v>1356</v>
      </c>
      <c r="AQ116" s="1" t="s">
        <v>74</v>
      </c>
      <c r="AR116" s="1" t="s">
        <v>74</v>
      </c>
      <c r="AS116" s="1" t="s">
        <v>74</v>
      </c>
      <c r="AT116" s="1" t="s">
        <v>264</v>
      </c>
      <c r="AU116" s="1">
        <v>2023.0</v>
      </c>
      <c r="AV116" s="1">
        <v>42.0</v>
      </c>
      <c r="AW116" s="1">
        <v>1.0</v>
      </c>
      <c r="AX116" s="1" t="s">
        <v>74</v>
      </c>
      <c r="AY116" s="1" t="s">
        <v>74</v>
      </c>
      <c r="AZ116" s="1" t="s">
        <v>74</v>
      </c>
      <c r="BA116" s="1" t="s">
        <v>74</v>
      </c>
      <c r="BB116" s="1">
        <v>70.0</v>
      </c>
      <c r="BC116" s="1">
        <v>76.0</v>
      </c>
      <c r="BD116" s="1" t="s">
        <v>74</v>
      </c>
      <c r="BE116" s="1" t="s">
        <v>1357</v>
      </c>
      <c r="BF116" s="2" t="str">
        <f>HYPERLINK("http://dx.doi.org/10.1123/jtpe.2021-0132","http://dx.doi.org/10.1123/jtpe.2021-0132")</f>
        <v>http://dx.doi.org/10.1123/jtpe.2021-0132</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1358</v>
      </c>
      <c r="BT116" s="1" t="str">
        <f>HYPERLINK("https%3A%2F%2Fwww.webofscience.com%2Fwos%2Fwoscc%2Ffull-record%2FWOS:001081164800008","View Full Record in Web of Science")</f>
        <v>View Full Record in Web of Science</v>
      </c>
    </row>
    <row r="117" ht="12.75" customHeight="1">
      <c r="A117" s="1" t="s">
        <v>72</v>
      </c>
      <c r="B117" s="1" t="s">
        <v>1359</v>
      </c>
      <c r="C117" s="1" t="s">
        <v>74</v>
      </c>
      <c r="D117" s="1" t="s">
        <v>74</v>
      </c>
      <c r="E117" s="1" t="s">
        <v>74</v>
      </c>
      <c r="F117" s="1" t="s">
        <v>1360</v>
      </c>
      <c r="G117" s="1" t="s">
        <v>74</v>
      </c>
      <c r="H117" s="1" t="s">
        <v>74</v>
      </c>
      <c r="I117" s="1" t="s">
        <v>1361</v>
      </c>
      <c r="J117" s="1" t="s">
        <v>1362</v>
      </c>
      <c r="K117" s="1" t="s">
        <v>74</v>
      </c>
      <c r="L117" s="1" t="s">
        <v>74</v>
      </c>
      <c r="M117" s="1" t="s">
        <v>74</v>
      </c>
      <c r="N117" s="1" t="s">
        <v>74</v>
      </c>
      <c r="O117" s="1" t="s">
        <v>74</v>
      </c>
      <c r="P117" s="1" t="s">
        <v>74</v>
      </c>
      <c r="Q117" s="1" t="s">
        <v>74</v>
      </c>
      <c r="R117" s="1" t="s">
        <v>74</v>
      </c>
      <c r="S117" s="1" t="s">
        <v>74</v>
      </c>
      <c r="T117" s="1" t="s">
        <v>74</v>
      </c>
      <c r="U117" s="1" t="s">
        <v>74</v>
      </c>
      <c r="V117" s="1" t="s">
        <v>1363</v>
      </c>
      <c r="W117" s="1" t="s">
        <v>74</v>
      </c>
      <c r="X117" s="1" t="s">
        <v>74</v>
      </c>
      <c r="Y117" s="1" t="s">
        <v>74</v>
      </c>
      <c r="Z117" s="1" t="s">
        <v>74</v>
      </c>
      <c r="AA117" s="1" t="s">
        <v>74</v>
      </c>
      <c r="AB117" s="1" t="s">
        <v>1364</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1365</v>
      </c>
      <c r="AP117" s="1" t="s">
        <v>1366</v>
      </c>
      <c r="AQ117" s="1" t="s">
        <v>74</v>
      </c>
      <c r="AR117" s="1" t="s">
        <v>74</v>
      </c>
      <c r="AS117" s="1" t="s">
        <v>74</v>
      </c>
      <c r="AT117" s="1" t="s">
        <v>214</v>
      </c>
      <c r="AU117" s="1">
        <v>2021.0</v>
      </c>
      <c r="AV117" s="1">
        <v>41.0</v>
      </c>
      <c r="AW117" s="1">
        <v>2.0</v>
      </c>
      <c r="AX117" s="1" t="s">
        <v>74</v>
      </c>
      <c r="AY117" s="1" t="s">
        <v>74</v>
      </c>
      <c r="AZ117" s="1" t="s">
        <v>74</v>
      </c>
      <c r="BA117" s="1" t="s">
        <v>74</v>
      </c>
      <c r="BB117" s="1">
        <v>534.0</v>
      </c>
      <c r="BC117" s="1">
        <v>552.0</v>
      </c>
      <c r="BD117" s="1" t="s">
        <v>74</v>
      </c>
      <c r="BE117" s="1" t="s">
        <v>1367</v>
      </c>
      <c r="BF117" s="2" t="str">
        <f>HYPERLINK("http://dx.doi.org/10.1017/etds.2019.59","http://dx.doi.org/10.1017/etds.2019.59")</f>
        <v>http://dx.doi.org/10.1017/etds.2019.59</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1368</v>
      </c>
      <c r="BT117" s="1" t="str">
        <f>HYPERLINK("https%3A%2F%2Fwww.webofscience.com%2Fwos%2Fwoscc%2Ffull-record%2FWOS:000590477100009","View Full Record in Web of Science")</f>
        <v>View Full Record in Web of Science</v>
      </c>
    </row>
    <row r="118" ht="12.75" customHeight="1">
      <c r="A118" s="1" t="s">
        <v>72</v>
      </c>
      <c r="B118" s="1" t="s">
        <v>1369</v>
      </c>
      <c r="C118" s="1" t="s">
        <v>74</v>
      </c>
      <c r="D118" s="1" t="s">
        <v>74</v>
      </c>
      <c r="E118" s="1" t="s">
        <v>74</v>
      </c>
      <c r="F118" s="1" t="s">
        <v>1370</v>
      </c>
      <c r="G118" s="1" t="s">
        <v>74</v>
      </c>
      <c r="H118" s="1" t="s">
        <v>74</v>
      </c>
      <c r="I118" s="1" t="s">
        <v>1371</v>
      </c>
      <c r="J118" s="1" t="s">
        <v>1372</v>
      </c>
      <c r="K118" s="1" t="s">
        <v>74</v>
      </c>
      <c r="L118" s="1" t="s">
        <v>74</v>
      </c>
      <c r="M118" s="1" t="s">
        <v>74</v>
      </c>
      <c r="N118" s="1" t="s">
        <v>74</v>
      </c>
      <c r="O118" s="1" t="s">
        <v>74</v>
      </c>
      <c r="P118" s="1" t="s">
        <v>74</v>
      </c>
      <c r="Q118" s="1" t="s">
        <v>74</v>
      </c>
      <c r="R118" s="1" t="s">
        <v>74</v>
      </c>
      <c r="S118" s="1" t="s">
        <v>74</v>
      </c>
      <c r="T118" s="1" t="s">
        <v>74</v>
      </c>
      <c r="U118" s="1" t="s">
        <v>74</v>
      </c>
      <c r="V118" s="1" t="s">
        <v>74</v>
      </c>
      <c r="W118" s="1" t="s">
        <v>74</v>
      </c>
      <c r="X118" s="1" t="s">
        <v>74</v>
      </c>
      <c r="Y118" s="1" t="s">
        <v>74</v>
      </c>
      <c r="Z118" s="1" t="s">
        <v>74</v>
      </c>
      <c r="AA118" s="1" t="s">
        <v>1373</v>
      </c>
      <c r="AB118" s="1" t="s">
        <v>1374</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1375</v>
      </c>
      <c r="AP118" s="1" t="s">
        <v>1376</v>
      </c>
      <c r="AQ118" s="1" t="s">
        <v>74</v>
      </c>
      <c r="AR118" s="1" t="s">
        <v>74</v>
      </c>
      <c r="AS118" s="1" t="s">
        <v>74</v>
      </c>
      <c r="AT118" s="1" t="s">
        <v>74</v>
      </c>
      <c r="AU118" s="1">
        <v>2020.0</v>
      </c>
      <c r="AV118" s="1">
        <v>20.0</v>
      </c>
      <c r="AW118" s="1">
        <v>74.0</v>
      </c>
      <c r="AX118" s="1" t="s">
        <v>74</v>
      </c>
      <c r="AY118" s="1" t="s">
        <v>74</v>
      </c>
      <c r="AZ118" s="1" t="s">
        <v>74</v>
      </c>
      <c r="BA118" s="1" t="s">
        <v>74</v>
      </c>
      <c r="BB118" s="1">
        <v>229.0</v>
      </c>
      <c r="BC118" s="1">
        <v>259.0</v>
      </c>
      <c r="BD118" s="1" t="s">
        <v>74</v>
      </c>
      <c r="BE118" s="1" t="s">
        <v>1377</v>
      </c>
      <c r="BF118" s="2" t="str">
        <f>HYPERLINK("http://dx.doi.org/10.18441/ibam.20.2020.74.229-259","http://dx.doi.org/10.18441/ibam.20.2020.74.229-259")</f>
        <v>http://dx.doi.org/10.18441/ibam.20.2020.74.229-259</v>
      </c>
      <c r="BG118" s="1" t="s">
        <v>74</v>
      </c>
      <c r="BH118" s="1" t="s">
        <v>74</v>
      </c>
      <c r="BI118" s="1" t="s">
        <v>74</v>
      </c>
      <c r="BJ118" s="1" t="s">
        <v>74</v>
      </c>
      <c r="BK118" s="1" t="s">
        <v>74</v>
      </c>
      <c r="BL118" s="1" t="s">
        <v>74</v>
      </c>
      <c r="BM118" s="1" t="s">
        <v>74</v>
      </c>
      <c r="BN118" s="1" t="s">
        <v>74</v>
      </c>
      <c r="BO118" s="1" t="s">
        <v>74</v>
      </c>
      <c r="BP118" s="1" t="s">
        <v>74</v>
      </c>
      <c r="BQ118" s="1" t="s">
        <v>74</v>
      </c>
      <c r="BR118" s="1" t="s">
        <v>74</v>
      </c>
      <c r="BS118" s="1" t="s">
        <v>1378</v>
      </c>
      <c r="BT118" s="1" t="str">
        <f>HYPERLINK("https%3A%2F%2Fwww.webofscience.com%2Fwos%2Fwoscc%2Ffull-record%2FWOS:000554997800012","View Full Record in Web of Science")</f>
        <v>View Full Record in Web of Science</v>
      </c>
    </row>
    <row r="119" ht="12.75" customHeight="1">
      <c r="A119" s="1" t="s">
        <v>72</v>
      </c>
      <c r="B119" s="1" t="s">
        <v>1379</v>
      </c>
      <c r="C119" s="1" t="s">
        <v>74</v>
      </c>
      <c r="D119" s="1" t="s">
        <v>74</v>
      </c>
      <c r="E119" s="1" t="s">
        <v>74</v>
      </c>
      <c r="F119" s="1" t="s">
        <v>1380</v>
      </c>
      <c r="G119" s="1" t="s">
        <v>74</v>
      </c>
      <c r="H119" s="1" t="s">
        <v>74</v>
      </c>
      <c r="I119" s="1" t="s">
        <v>1381</v>
      </c>
      <c r="J119" s="1" t="s">
        <v>1382</v>
      </c>
      <c r="K119" s="1" t="s">
        <v>74</v>
      </c>
      <c r="L119" s="1" t="s">
        <v>74</v>
      </c>
      <c r="M119" s="1" t="s">
        <v>74</v>
      </c>
      <c r="N119" s="1" t="s">
        <v>74</v>
      </c>
      <c r="O119" s="1" t="s">
        <v>74</v>
      </c>
      <c r="P119" s="1" t="s">
        <v>74</v>
      </c>
      <c r="Q119" s="1" t="s">
        <v>74</v>
      </c>
      <c r="R119" s="1" t="s">
        <v>74</v>
      </c>
      <c r="S119" s="1" t="s">
        <v>74</v>
      </c>
      <c r="T119" s="1" t="s">
        <v>74</v>
      </c>
      <c r="U119" s="1" t="s">
        <v>74</v>
      </c>
      <c r="V119" s="1" t="s">
        <v>1383</v>
      </c>
      <c r="W119" s="1" t="s">
        <v>74</v>
      </c>
      <c r="X119" s="1" t="s">
        <v>74</v>
      </c>
      <c r="Y119" s="1" t="s">
        <v>74</v>
      </c>
      <c r="Z119" s="1" t="s">
        <v>74</v>
      </c>
      <c r="AA119" s="1" t="s">
        <v>1384</v>
      </c>
      <c r="AB119" s="1" t="s">
        <v>1385</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1386</v>
      </c>
      <c r="AP119" s="1" t="s">
        <v>1387</v>
      </c>
      <c r="AQ119" s="1" t="s">
        <v>74</v>
      </c>
      <c r="AR119" s="1" t="s">
        <v>74</v>
      </c>
      <c r="AS119" s="1" t="s">
        <v>74</v>
      </c>
      <c r="AT119" s="1" t="s">
        <v>392</v>
      </c>
      <c r="AU119" s="1">
        <v>2019.0</v>
      </c>
      <c r="AV119" s="1">
        <v>10.0</v>
      </c>
      <c r="AW119" s="1">
        <v>2.0</v>
      </c>
      <c r="AX119" s="1" t="s">
        <v>74</v>
      </c>
      <c r="AY119" s="1" t="s">
        <v>74</v>
      </c>
      <c r="AZ119" s="1" t="s">
        <v>74</v>
      </c>
      <c r="BA119" s="1" t="s">
        <v>74</v>
      </c>
      <c r="BB119" s="1">
        <v>278.0</v>
      </c>
      <c r="BC119" s="1">
        <v>286.0</v>
      </c>
      <c r="BD119" s="1" t="s">
        <v>74</v>
      </c>
      <c r="BE119" s="1" t="s">
        <v>1388</v>
      </c>
      <c r="BF119" s="2" t="str">
        <f>HYPERLINK("http://dx.doi.org/10.1002/jcsm.12373","http://dx.doi.org/10.1002/jcsm.12373")</f>
        <v>http://dx.doi.org/10.1002/jcsm.12373</v>
      </c>
      <c r="BG119" s="1" t="s">
        <v>74</v>
      </c>
      <c r="BH119" s="1" t="s">
        <v>74</v>
      </c>
      <c r="BI119" s="1" t="s">
        <v>74</v>
      </c>
      <c r="BJ119" s="1" t="s">
        <v>74</v>
      </c>
      <c r="BK119" s="1" t="s">
        <v>74</v>
      </c>
      <c r="BL119" s="1" t="s">
        <v>74</v>
      </c>
      <c r="BM119" s="1" t="s">
        <v>74</v>
      </c>
      <c r="BN119" s="1">
        <v>3.0843369E7</v>
      </c>
      <c r="BO119" s="1" t="s">
        <v>74</v>
      </c>
      <c r="BP119" s="1" t="s">
        <v>74</v>
      </c>
      <c r="BQ119" s="1" t="s">
        <v>74</v>
      </c>
      <c r="BR119" s="1" t="s">
        <v>74</v>
      </c>
      <c r="BS119" s="1" t="s">
        <v>1389</v>
      </c>
      <c r="BT119" s="1" t="str">
        <f>HYPERLINK("https%3A%2F%2Fwww.webofscience.com%2Fwos%2Fwoscc%2Ffull-record%2FWOS:000465092100003","View Full Record in Web of Science")</f>
        <v>View Full Record in Web of Science</v>
      </c>
    </row>
    <row r="120" ht="12.75" customHeight="1">
      <c r="A120" s="1" t="s">
        <v>72</v>
      </c>
      <c r="B120" s="1" t="s">
        <v>1390</v>
      </c>
      <c r="C120" s="1" t="s">
        <v>74</v>
      </c>
      <c r="D120" s="1" t="s">
        <v>74</v>
      </c>
      <c r="E120" s="1" t="s">
        <v>74</v>
      </c>
      <c r="F120" s="1" t="s">
        <v>1391</v>
      </c>
      <c r="G120" s="1" t="s">
        <v>74</v>
      </c>
      <c r="H120" s="1" t="s">
        <v>74</v>
      </c>
      <c r="I120" s="1" t="s">
        <v>1392</v>
      </c>
      <c r="J120" s="1" t="s">
        <v>525</v>
      </c>
      <c r="K120" s="1" t="s">
        <v>74</v>
      </c>
      <c r="L120" s="1" t="s">
        <v>74</v>
      </c>
      <c r="M120" s="1" t="s">
        <v>74</v>
      </c>
      <c r="N120" s="1" t="s">
        <v>74</v>
      </c>
      <c r="O120" s="1" t="s">
        <v>74</v>
      </c>
      <c r="P120" s="1" t="s">
        <v>74</v>
      </c>
      <c r="Q120" s="1" t="s">
        <v>74</v>
      </c>
      <c r="R120" s="1" t="s">
        <v>74</v>
      </c>
      <c r="S120" s="1" t="s">
        <v>74</v>
      </c>
      <c r="T120" s="1" t="s">
        <v>74</v>
      </c>
      <c r="U120" s="1" t="s">
        <v>74</v>
      </c>
      <c r="V120" s="1" t="s">
        <v>1393</v>
      </c>
      <c r="W120" s="1" t="s">
        <v>74</v>
      </c>
      <c r="X120" s="1" t="s">
        <v>74</v>
      </c>
      <c r="Y120" s="1" t="s">
        <v>74</v>
      </c>
      <c r="Z120" s="1" t="s">
        <v>74</v>
      </c>
      <c r="AA120" s="1" t="s">
        <v>1394</v>
      </c>
      <c r="AB120" s="1" t="s">
        <v>1395</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529</v>
      </c>
      <c r="AP120" s="1" t="s">
        <v>530</v>
      </c>
      <c r="AQ120" s="1" t="s">
        <v>74</v>
      </c>
      <c r="AR120" s="1" t="s">
        <v>74</v>
      </c>
      <c r="AS120" s="1" t="s">
        <v>74</v>
      </c>
      <c r="AT120" s="1" t="s">
        <v>590</v>
      </c>
      <c r="AU120" s="1">
        <v>2019.0</v>
      </c>
      <c r="AV120" s="1">
        <v>36.0</v>
      </c>
      <c r="AW120" s="1">
        <v>2.0</v>
      </c>
      <c r="AX120" s="1" t="s">
        <v>74</v>
      </c>
      <c r="AY120" s="1" t="s">
        <v>74</v>
      </c>
      <c r="AZ120" s="1" t="s">
        <v>74</v>
      </c>
      <c r="BA120" s="1" t="s">
        <v>74</v>
      </c>
      <c r="BB120" s="1">
        <v>379.0</v>
      </c>
      <c r="BC120" s="1">
        <v>386.0</v>
      </c>
      <c r="BD120" s="1" t="s">
        <v>74</v>
      </c>
      <c r="BE120" s="1" t="s">
        <v>1396</v>
      </c>
      <c r="BF120" s="2" t="str">
        <f>HYPERLINK("http://dx.doi.org/10.20960/nh.2071","http://dx.doi.org/10.20960/nh.2071")</f>
        <v>http://dx.doi.org/10.20960/nh.2071</v>
      </c>
      <c r="BG120" s="1" t="s">
        <v>74</v>
      </c>
      <c r="BH120" s="1" t="s">
        <v>74</v>
      </c>
      <c r="BI120" s="1" t="s">
        <v>74</v>
      </c>
      <c r="BJ120" s="1" t="s">
        <v>74</v>
      </c>
      <c r="BK120" s="1" t="s">
        <v>74</v>
      </c>
      <c r="BL120" s="1" t="s">
        <v>74</v>
      </c>
      <c r="BM120" s="1" t="s">
        <v>74</v>
      </c>
      <c r="BN120" s="1">
        <v>3.086445E7</v>
      </c>
      <c r="BO120" s="1" t="s">
        <v>74</v>
      </c>
      <c r="BP120" s="1" t="s">
        <v>74</v>
      </c>
      <c r="BQ120" s="1" t="s">
        <v>74</v>
      </c>
      <c r="BR120" s="1" t="s">
        <v>74</v>
      </c>
      <c r="BS120" s="1" t="s">
        <v>1397</v>
      </c>
      <c r="BT120" s="1" t="str">
        <f>HYPERLINK("https%3A%2F%2Fwww.webofscience.com%2Fwos%2Fwoscc%2Ffull-record%2FWOS:000464929400022","View Full Record in Web of Science")</f>
        <v>View Full Record in Web of Science</v>
      </c>
    </row>
    <row r="121" ht="12.75" customHeight="1">
      <c r="A121" s="1" t="s">
        <v>72</v>
      </c>
      <c r="B121" s="1" t="s">
        <v>1398</v>
      </c>
      <c r="C121" s="1" t="s">
        <v>74</v>
      </c>
      <c r="D121" s="1" t="s">
        <v>74</v>
      </c>
      <c r="E121" s="1" t="s">
        <v>74</v>
      </c>
      <c r="F121" s="1" t="s">
        <v>1399</v>
      </c>
      <c r="G121" s="1" t="s">
        <v>74</v>
      </c>
      <c r="H121" s="1" t="s">
        <v>74</v>
      </c>
      <c r="I121" s="1" t="s">
        <v>1400</v>
      </c>
      <c r="J121" s="1" t="s">
        <v>1401</v>
      </c>
      <c r="K121" s="1" t="s">
        <v>74</v>
      </c>
      <c r="L121" s="1" t="s">
        <v>74</v>
      </c>
      <c r="M121" s="1" t="s">
        <v>74</v>
      </c>
      <c r="N121" s="1" t="s">
        <v>74</v>
      </c>
      <c r="O121" s="1" t="s">
        <v>74</v>
      </c>
      <c r="P121" s="1" t="s">
        <v>74</v>
      </c>
      <c r="Q121" s="1" t="s">
        <v>74</v>
      </c>
      <c r="R121" s="1" t="s">
        <v>74</v>
      </c>
      <c r="S121" s="1" t="s">
        <v>74</v>
      </c>
      <c r="T121" s="1" t="s">
        <v>74</v>
      </c>
      <c r="U121" s="1" t="s">
        <v>74</v>
      </c>
      <c r="V121" s="1" t="s">
        <v>1402</v>
      </c>
      <c r="W121" s="1" t="s">
        <v>74</v>
      </c>
      <c r="X121" s="1" t="s">
        <v>74</v>
      </c>
      <c r="Y121" s="1" t="s">
        <v>74</v>
      </c>
      <c r="Z121" s="1" t="s">
        <v>74</v>
      </c>
      <c r="AA121" s="1" t="s">
        <v>1403</v>
      </c>
      <c r="AB121" s="1" t="s">
        <v>1404</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1405</v>
      </c>
      <c r="AP121" s="1" t="s">
        <v>1406</v>
      </c>
      <c r="AQ121" s="1" t="s">
        <v>74</v>
      </c>
      <c r="AR121" s="1" t="s">
        <v>74</v>
      </c>
      <c r="AS121" s="1" t="s">
        <v>74</v>
      </c>
      <c r="AT121" s="1" t="s">
        <v>334</v>
      </c>
      <c r="AU121" s="1">
        <v>2024.0</v>
      </c>
      <c r="AV121" s="1">
        <v>103.0</v>
      </c>
      <c r="AW121" s="1">
        <v>10.0</v>
      </c>
      <c r="AX121" s="1" t="s">
        <v>74</v>
      </c>
      <c r="AY121" s="1" t="s">
        <v>74</v>
      </c>
      <c r="AZ121" s="1" t="s">
        <v>74</v>
      </c>
      <c r="BA121" s="1" t="s">
        <v>74</v>
      </c>
      <c r="BB121" s="1">
        <v>925.0</v>
      </c>
      <c r="BC121" s="1">
        <v>928.0</v>
      </c>
      <c r="BD121" s="1" t="s">
        <v>74</v>
      </c>
      <c r="BE121" s="1" t="s">
        <v>1407</v>
      </c>
      <c r="BF121" s="2" t="str">
        <f>HYPERLINK("http://dx.doi.org/10.1097/PHM.0000000000002504","http://dx.doi.org/10.1097/PHM.0000000000002504")</f>
        <v>http://dx.doi.org/10.1097/PHM.0000000000002504</v>
      </c>
      <c r="BG121" s="1" t="s">
        <v>74</v>
      </c>
      <c r="BH121" s="1" t="s">
        <v>74</v>
      </c>
      <c r="BI121" s="1" t="s">
        <v>74</v>
      </c>
      <c r="BJ121" s="1" t="s">
        <v>74</v>
      </c>
      <c r="BK121" s="1" t="s">
        <v>74</v>
      </c>
      <c r="BL121" s="1" t="s">
        <v>74</v>
      </c>
      <c r="BM121" s="1" t="s">
        <v>74</v>
      </c>
      <c r="BN121" s="1">
        <v>3.8630944E7</v>
      </c>
      <c r="BO121" s="1" t="s">
        <v>74</v>
      </c>
      <c r="BP121" s="1" t="s">
        <v>74</v>
      </c>
      <c r="BQ121" s="1" t="s">
        <v>74</v>
      </c>
      <c r="BR121" s="1" t="s">
        <v>74</v>
      </c>
      <c r="BS121" s="1" t="s">
        <v>1408</v>
      </c>
      <c r="BT121" s="1" t="str">
        <f>HYPERLINK("https%3A%2F%2Fwww.webofscience.com%2Fwos%2Fwoscc%2Ffull-record%2FWOS:001312647800008","View Full Record in Web of Science")</f>
        <v>View Full Record in Web of Science</v>
      </c>
    </row>
    <row r="122" ht="12.75" customHeight="1">
      <c r="A122" s="1" t="s">
        <v>72</v>
      </c>
      <c r="B122" s="1" t="s">
        <v>1409</v>
      </c>
      <c r="C122" s="1" t="s">
        <v>74</v>
      </c>
      <c r="D122" s="1" t="s">
        <v>74</v>
      </c>
      <c r="E122" s="1" t="s">
        <v>74</v>
      </c>
      <c r="F122" s="1" t="s">
        <v>1410</v>
      </c>
      <c r="G122" s="1" t="s">
        <v>74</v>
      </c>
      <c r="H122" s="1" t="s">
        <v>74</v>
      </c>
      <c r="I122" s="1" t="s">
        <v>1411</v>
      </c>
      <c r="J122" s="1" t="s">
        <v>1412</v>
      </c>
      <c r="K122" s="1" t="s">
        <v>74</v>
      </c>
      <c r="L122" s="1" t="s">
        <v>74</v>
      </c>
      <c r="M122" s="1" t="s">
        <v>74</v>
      </c>
      <c r="N122" s="1" t="s">
        <v>74</v>
      </c>
      <c r="O122" s="1" t="s">
        <v>74</v>
      </c>
      <c r="P122" s="1" t="s">
        <v>74</v>
      </c>
      <c r="Q122" s="1" t="s">
        <v>74</v>
      </c>
      <c r="R122" s="1" t="s">
        <v>74</v>
      </c>
      <c r="S122" s="1" t="s">
        <v>74</v>
      </c>
      <c r="T122" s="1" t="s">
        <v>74</v>
      </c>
      <c r="U122" s="1" t="s">
        <v>74</v>
      </c>
      <c r="V122" s="1" t="s">
        <v>1413</v>
      </c>
      <c r="W122" s="1" t="s">
        <v>74</v>
      </c>
      <c r="X122" s="1" t="s">
        <v>74</v>
      </c>
      <c r="Y122" s="1" t="s">
        <v>74</v>
      </c>
      <c r="Z122" s="1" t="s">
        <v>74</v>
      </c>
      <c r="AA122" s="1" t="s">
        <v>1414</v>
      </c>
      <c r="AB122" s="1" t="s">
        <v>1415</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1416</v>
      </c>
      <c r="AP122" s="1" t="s">
        <v>1417</v>
      </c>
      <c r="AQ122" s="1" t="s">
        <v>74</v>
      </c>
      <c r="AR122" s="1" t="s">
        <v>74</v>
      </c>
      <c r="AS122" s="1" t="s">
        <v>74</v>
      </c>
      <c r="AT122" s="1" t="s">
        <v>334</v>
      </c>
      <c r="AU122" s="1">
        <v>2024.0</v>
      </c>
      <c r="AV122" s="1">
        <v>73.0</v>
      </c>
      <c r="AW122" s="1">
        <v>4.0</v>
      </c>
      <c r="AX122" s="1" t="s">
        <v>74</v>
      </c>
      <c r="AY122" s="1" t="s">
        <v>74</v>
      </c>
      <c r="AZ122" s="1" t="s">
        <v>448</v>
      </c>
      <c r="BA122" s="1" t="s">
        <v>74</v>
      </c>
      <c r="BB122" s="1">
        <v>2107.0</v>
      </c>
      <c r="BC122" s="1">
        <v>2128.0</v>
      </c>
      <c r="BD122" s="1" t="s">
        <v>74</v>
      </c>
      <c r="BE122" s="1" t="s">
        <v>1418</v>
      </c>
      <c r="BF122" s="2" t="str">
        <f>HYPERLINK("http://dx.doi.org/10.1111/apps.12541","http://dx.doi.org/10.1111/apps.12541")</f>
        <v>http://dx.doi.org/10.1111/apps.12541</v>
      </c>
      <c r="BG122" s="1" t="s">
        <v>74</v>
      </c>
      <c r="BH122" s="1" t="s">
        <v>371</v>
      </c>
      <c r="BI122" s="1" t="s">
        <v>74</v>
      </c>
      <c r="BJ122" s="1" t="s">
        <v>74</v>
      </c>
      <c r="BK122" s="1" t="s">
        <v>74</v>
      </c>
      <c r="BL122" s="1" t="s">
        <v>74</v>
      </c>
      <c r="BM122" s="1" t="s">
        <v>74</v>
      </c>
      <c r="BN122" s="1" t="s">
        <v>74</v>
      </c>
      <c r="BO122" s="1" t="s">
        <v>74</v>
      </c>
      <c r="BP122" s="1" t="s">
        <v>74</v>
      </c>
      <c r="BQ122" s="1" t="s">
        <v>74</v>
      </c>
      <c r="BR122" s="1" t="s">
        <v>74</v>
      </c>
      <c r="BS122" s="1" t="s">
        <v>1419</v>
      </c>
      <c r="BT122" s="1" t="str">
        <f>HYPERLINK("https%3A%2F%2Fwww.webofscience.com%2Fwos%2Fwoscc%2Ffull-record%2FWOS:001205968100001","View Full Record in Web of Science")</f>
        <v>View Full Record in Web of Science</v>
      </c>
    </row>
    <row r="123" ht="12.75" customHeight="1">
      <c r="A123" s="1" t="s">
        <v>72</v>
      </c>
      <c r="B123" s="1" t="s">
        <v>1420</v>
      </c>
      <c r="C123" s="1" t="s">
        <v>74</v>
      </c>
      <c r="D123" s="1" t="s">
        <v>74</v>
      </c>
      <c r="E123" s="1" t="s">
        <v>74</v>
      </c>
      <c r="F123" s="1" t="s">
        <v>1421</v>
      </c>
      <c r="G123" s="1" t="s">
        <v>74</v>
      </c>
      <c r="H123" s="1" t="s">
        <v>74</v>
      </c>
      <c r="I123" s="1" t="s">
        <v>1422</v>
      </c>
      <c r="J123" s="1" t="s">
        <v>1423</v>
      </c>
      <c r="K123" s="1" t="s">
        <v>74</v>
      </c>
      <c r="L123" s="1" t="s">
        <v>74</v>
      </c>
      <c r="M123" s="1" t="s">
        <v>74</v>
      </c>
      <c r="N123" s="1" t="s">
        <v>74</v>
      </c>
      <c r="O123" s="1" t="s">
        <v>74</v>
      </c>
      <c r="P123" s="1" t="s">
        <v>74</v>
      </c>
      <c r="Q123" s="1" t="s">
        <v>74</v>
      </c>
      <c r="R123" s="1" t="s">
        <v>74</v>
      </c>
      <c r="S123" s="1" t="s">
        <v>74</v>
      </c>
      <c r="T123" s="1" t="s">
        <v>74</v>
      </c>
      <c r="U123" s="1" t="s">
        <v>74</v>
      </c>
      <c r="V123" s="1" t="s">
        <v>1424</v>
      </c>
      <c r="W123" s="1" t="s">
        <v>74</v>
      </c>
      <c r="X123" s="1" t="s">
        <v>74</v>
      </c>
      <c r="Y123" s="1" t="s">
        <v>74</v>
      </c>
      <c r="Z123" s="1" t="s">
        <v>74</v>
      </c>
      <c r="AA123" s="1" t="s">
        <v>1425</v>
      </c>
      <c r="AB123" s="1" t="s">
        <v>1426</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74</v>
      </c>
      <c r="AP123" s="1" t="s">
        <v>1427</v>
      </c>
      <c r="AQ123" s="1" t="s">
        <v>74</v>
      </c>
      <c r="AR123" s="1" t="s">
        <v>74</v>
      </c>
      <c r="AS123" s="1" t="s">
        <v>74</v>
      </c>
      <c r="AT123" s="1" t="s">
        <v>1428</v>
      </c>
      <c r="AU123" s="1">
        <v>2023.0</v>
      </c>
      <c r="AV123" s="1">
        <v>10.0</v>
      </c>
      <c r="AW123" s="1" t="s">
        <v>74</v>
      </c>
      <c r="AX123" s="1" t="s">
        <v>74</v>
      </c>
      <c r="AY123" s="1" t="s">
        <v>74</v>
      </c>
      <c r="AZ123" s="1" t="s">
        <v>74</v>
      </c>
      <c r="BA123" s="1" t="s">
        <v>74</v>
      </c>
      <c r="BB123" s="1" t="s">
        <v>74</v>
      </c>
      <c r="BC123" s="1" t="s">
        <v>74</v>
      </c>
      <c r="BD123" s="1">
        <v>1161093.0</v>
      </c>
      <c r="BE123" s="1" t="s">
        <v>1429</v>
      </c>
      <c r="BF123" s="2" t="str">
        <f>HYPERLINK("http://dx.doi.org/10.3389/fvets.2023.1161093","http://dx.doi.org/10.3389/fvets.2023.1161093")</f>
        <v>http://dx.doi.org/10.3389/fvets.2023.1161093</v>
      </c>
      <c r="BG123" s="1" t="s">
        <v>74</v>
      </c>
      <c r="BH123" s="1" t="s">
        <v>74</v>
      </c>
      <c r="BI123" s="1" t="s">
        <v>74</v>
      </c>
      <c r="BJ123" s="1" t="s">
        <v>74</v>
      </c>
      <c r="BK123" s="1" t="s">
        <v>74</v>
      </c>
      <c r="BL123" s="1" t="s">
        <v>74</v>
      </c>
      <c r="BM123" s="1" t="s">
        <v>74</v>
      </c>
      <c r="BN123" s="1">
        <v>3.8033637E7</v>
      </c>
      <c r="BO123" s="1" t="s">
        <v>74</v>
      </c>
      <c r="BP123" s="1" t="s">
        <v>74</v>
      </c>
      <c r="BQ123" s="1" t="s">
        <v>74</v>
      </c>
      <c r="BR123" s="1" t="s">
        <v>74</v>
      </c>
      <c r="BS123" s="1" t="s">
        <v>1430</v>
      </c>
      <c r="BT123" s="1" t="str">
        <f>HYPERLINK("https%3A%2F%2Fwww.webofscience.com%2Fwos%2Fwoscc%2Ffull-record%2FWOS:001110923900001","View Full Record in Web of Science")</f>
        <v>View Full Record in Web of Science</v>
      </c>
    </row>
    <row r="124" ht="12.75" customHeight="1">
      <c r="A124" s="1" t="s">
        <v>72</v>
      </c>
      <c r="B124" s="1" t="s">
        <v>1431</v>
      </c>
      <c r="C124" s="1" t="s">
        <v>74</v>
      </c>
      <c r="D124" s="1" t="s">
        <v>74</v>
      </c>
      <c r="E124" s="1" t="s">
        <v>74</v>
      </c>
      <c r="F124" s="1" t="s">
        <v>1432</v>
      </c>
      <c r="G124" s="1" t="s">
        <v>74</v>
      </c>
      <c r="H124" s="1" t="s">
        <v>74</v>
      </c>
      <c r="I124" s="1" t="s">
        <v>1433</v>
      </c>
      <c r="J124" s="1" t="s">
        <v>124</v>
      </c>
      <c r="K124" s="1" t="s">
        <v>74</v>
      </c>
      <c r="L124" s="1" t="s">
        <v>74</v>
      </c>
      <c r="M124" s="1" t="s">
        <v>74</v>
      </c>
      <c r="N124" s="1" t="s">
        <v>74</v>
      </c>
      <c r="O124" s="1" t="s">
        <v>74</v>
      </c>
      <c r="P124" s="1" t="s">
        <v>74</v>
      </c>
      <c r="Q124" s="1" t="s">
        <v>74</v>
      </c>
      <c r="R124" s="1" t="s">
        <v>74</v>
      </c>
      <c r="S124" s="1" t="s">
        <v>74</v>
      </c>
      <c r="T124" s="1" t="s">
        <v>74</v>
      </c>
      <c r="U124" s="1" t="s">
        <v>74</v>
      </c>
      <c r="V124" s="1" t="s">
        <v>1434</v>
      </c>
      <c r="W124" s="1" t="s">
        <v>74</v>
      </c>
      <c r="X124" s="1" t="s">
        <v>74</v>
      </c>
      <c r="Y124" s="1" t="s">
        <v>74</v>
      </c>
      <c r="Z124" s="1" t="s">
        <v>74</v>
      </c>
      <c r="AA124" s="1" t="s">
        <v>1435</v>
      </c>
      <c r="AB124" s="1" t="s">
        <v>74</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128</v>
      </c>
      <c r="AP124" s="1" t="s">
        <v>129</v>
      </c>
      <c r="AQ124" s="1" t="s">
        <v>74</v>
      </c>
      <c r="AR124" s="1" t="s">
        <v>74</v>
      </c>
      <c r="AS124" s="1" t="s">
        <v>74</v>
      </c>
      <c r="AT124" s="1" t="s">
        <v>189</v>
      </c>
      <c r="AU124" s="1">
        <v>2023.0</v>
      </c>
      <c r="AV124" s="1">
        <v>352.0</v>
      </c>
      <c r="AW124" s="1" t="s">
        <v>74</v>
      </c>
      <c r="AX124" s="1" t="s">
        <v>74</v>
      </c>
      <c r="AY124" s="1" t="s">
        <v>74</v>
      </c>
      <c r="AZ124" s="1" t="s">
        <v>74</v>
      </c>
      <c r="BA124" s="1" t="s">
        <v>74</v>
      </c>
      <c r="BB124" s="1" t="s">
        <v>74</v>
      </c>
      <c r="BC124" s="1" t="s">
        <v>74</v>
      </c>
      <c r="BD124" s="1">
        <v>135209.0</v>
      </c>
      <c r="BE124" s="1" t="s">
        <v>1436</v>
      </c>
      <c r="BF124" s="2" t="str">
        <f>HYPERLINK("http://dx.doi.org/10.1016/j.matlet.2023.135209","http://dx.doi.org/10.1016/j.matlet.2023.135209")</f>
        <v>http://dx.doi.org/10.1016/j.matlet.2023.135209</v>
      </c>
      <c r="BG124" s="1" t="s">
        <v>74</v>
      </c>
      <c r="BH124" s="1" t="s">
        <v>314</v>
      </c>
      <c r="BI124" s="1" t="s">
        <v>74</v>
      </c>
      <c r="BJ124" s="1" t="s">
        <v>74</v>
      </c>
      <c r="BK124" s="1" t="s">
        <v>74</v>
      </c>
      <c r="BL124" s="1" t="s">
        <v>74</v>
      </c>
      <c r="BM124" s="1" t="s">
        <v>74</v>
      </c>
      <c r="BN124" s="1" t="s">
        <v>74</v>
      </c>
      <c r="BO124" s="1" t="s">
        <v>74</v>
      </c>
      <c r="BP124" s="1" t="s">
        <v>74</v>
      </c>
      <c r="BQ124" s="1" t="s">
        <v>74</v>
      </c>
      <c r="BR124" s="1" t="s">
        <v>74</v>
      </c>
      <c r="BS124" s="1" t="s">
        <v>1437</v>
      </c>
      <c r="BT124" s="1" t="str">
        <f>HYPERLINK("https%3A%2F%2Fwww.webofscience.com%2Fwos%2Fwoscc%2Ffull-record%2FWOS:001080408900001","View Full Record in Web of Science")</f>
        <v>View Full Record in Web of Science</v>
      </c>
    </row>
    <row r="125" ht="12.75" customHeight="1">
      <c r="A125" s="1" t="s">
        <v>72</v>
      </c>
      <c r="B125" s="1" t="s">
        <v>1438</v>
      </c>
      <c r="C125" s="1" t="s">
        <v>74</v>
      </c>
      <c r="D125" s="1" t="s">
        <v>74</v>
      </c>
      <c r="E125" s="1" t="s">
        <v>74</v>
      </c>
      <c r="F125" s="1" t="s">
        <v>1439</v>
      </c>
      <c r="G125" s="1" t="s">
        <v>74</v>
      </c>
      <c r="H125" s="1" t="s">
        <v>74</v>
      </c>
      <c r="I125" s="1" t="s">
        <v>1440</v>
      </c>
      <c r="J125" s="1" t="s">
        <v>1441</v>
      </c>
      <c r="K125" s="1" t="s">
        <v>74</v>
      </c>
      <c r="L125" s="1" t="s">
        <v>74</v>
      </c>
      <c r="M125" s="1" t="s">
        <v>74</v>
      </c>
      <c r="N125" s="1" t="s">
        <v>74</v>
      </c>
      <c r="O125" s="1" t="s">
        <v>74</v>
      </c>
      <c r="P125" s="1" t="s">
        <v>74</v>
      </c>
      <c r="Q125" s="1" t="s">
        <v>74</v>
      </c>
      <c r="R125" s="1" t="s">
        <v>74</v>
      </c>
      <c r="S125" s="1" t="s">
        <v>74</v>
      </c>
      <c r="T125" s="1" t="s">
        <v>74</v>
      </c>
      <c r="U125" s="1" t="s">
        <v>74</v>
      </c>
      <c r="V125" s="1" t="s">
        <v>1442</v>
      </c>
      <c r="W125" s="1" t="s">
        <v>74</v>
      </c>
      <c r="X125" s="1" t="s">
        <v>74</v>
      </c>
      <c r="Y125" s="1" t="s">
        <v>74</v>
      </c>
      <c r="Z125" s="1" t="s">
        <v>74</v>
      </c>
      <c r="AA125" s="1" t="s">
        <v>1443</v>
      </c>
      <c r="AB125" s="1" t="s">
        <v>1444</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1445</v>
      </c>
      <c r="AP125" s="1" t="s">
        <v>1446</v>
      </c>
      <c r="AQ125" s="1" t="s">
        <v>74</v>
      </c>
      <c r="AR125" s="1" t="s">
        <v>74</v>
      </c>
      <c r="AS125" s="1" t="s">
        <v>74</v>
      </c>
      <c r="AT125" s="1" t="s">
        <v>141</v>
      </c>
      <c r="AU125" s="1">
        <v>2020.0</v>
      </c>
      <c r="AV125" s="1">
        <v>900.0</v>
      </c>
      <c r="AW125" s="1">
        <v>1.0</v>
      </c>
      <c r="AX125" s="1" t="s">
        <v>74</v>
      </c>
      <c r="AY125" s="1" t="s">
        <v>74</v>
      </c>
      <c r="AZ125" s="1" t="s">
        <v>74</v>
      </c>
      <c r="BA125" s="1" t="s">
        <v>74</v>
      </c>
      <c r="BB125" s="1" t="s">
        <v>74</v>
      </c>
      <c r="BC125" s="1" t="s">
        <v>74</v>
      </c>
      <c r="BD125" s="1">
        <v>7.0</v>
      </c>
      <c r="BE125" s="1" t="s">
        <v>1447</v>
      </c>
      <c r="BF125" s="2" t="str">
        <f>HYPERLINK("http://dx.doi.org/10.3847/1538-4357/aba3c4","http://dx.doi.org/10.3847/1538-4357/aba3c4")</f>
        <v>http://dx.doi.org/10.3847/1538-4357/aba3c4</v>
      </c>
      <c r="BG125" s="1" t="s">
        <v>74</v>
      </c>
      <c r="BH125" s="1" t="s">
        <v>74</v>
      </c>
      <c r="BI125" s="1" t="s">
        <v>74</v>
      </c>
      <c r="BJ125" s="1" t="s">
        <v>74</v>
      </c>
      <c r="BK125" s="1" t="s">
        <v>74</v>
      </c>
      <c r="BL125" s="1" t="s">
        <v>74</v>
      </c>
      <c r="BM125" s="1" t="s">
        <v>74</v>
      </c>
      <c r="BN125" s="1" t="s">
        <v>74</v>
      </c>
      <c r="BO125" s="1" t="s">
        <v>74</v>
      </c>
      <c r="BP125" s="1" t="s">
        <v>74</v>
      </c>
      <c r="BQ125" s="1" t="s">
        <v>74</v>
      </c>
      <c r="BR125" s="1" t="s">
        <v>74</v>
      </c>
      <c r="BS125" s="1" t="s">
        <v>1448</v>
      </c>
      <c r="BT125" s="1" t="str">
        <f>HYPERLINK("https%3A%2F%2Fwww.webofscience.com%2Fwos%2Fwoscc%2Ffull-record%2FWOS:000566198600001","View Full Record in Web of Science")</f>
        <v>View Full Record in Web of Science</v>
      </c>
    </row>
    <row r="126" ht="12.75" customHeight="1">
      <c r="A126" s="1" t="s">
        <v>72</v>
      </c>
      <c r="B126" s="1" t="s">
        <v>1449</v>
      </c>
      <c r="C126" s="1" t="s">
        <v>74</v>
      </c>
      <c r="D126" s="1" t="s">
        <v>74</v>
      </c>
      <c r="E126" s="1" t="s">
        <v>74</v>
      </c>
      <c r="F126" s="1" t="s">
        <v>1450</v>
      </c>
      <c r="G126" s="1" t="s">
        <v>74</v>
      </c>
      <c r="H126" s="1" t="s">
        <v>74</v>
      </c>
      <c r="I126" s="1" t="s">
        <v>1451</v>
      </c>
      <c r="J126" s="1" t="s">
        <v>717</v>
      </c>
      <c r="K126" s="1" t="s">
        <v>74</v>
      </c>
      <c r="L126" s="1" t="s">
        <v>74</v>
      </c>
      <c r="M126" s="1" t="s">
        <v>74</v>
      </c>
      <c r="N126" s="1" t="s">
        <v>74</v>
      </c>
      <c r="O126" s="1" t="s">
        <v>74</v>
      </c>
      <c r="P126" s="1" t="s">
        <v>74</v>
      </c>
      <c r="Q126" s="1" t="s">
        <v>74</v>
      </c>
      <c r="R126" s="1" t="s">
        <v>74</v>
      </c>
      <c r="S126" s="1" t="s">
        <v>74</v>
      </c>
      <c r="T126" s="1" t="s">
        <v>74</v>
      </c>
      <c r="U126" s="1" t="s">
        <v>74</v>
      </c>
      <c r="V126" s="1" t="s">
        <v>1452</v>
      </c>
      <c r="W126" s="1" t="s">
        <v>74</v>
      </c>
      <c r="X126" s="1" t="s">
        <v>74</v>
      </c>
      <c r="Y126" s="1" t="s">
        <v>74</v>
      </c>
      <c r="Z126" s="1" t="s">
        <v>74</v>
      </c>
      <c r="AA126" s="1" t="s">
        <v>1453</v>
      </c>
      <c r="AB126" s="1" t="s">
        <v>1454</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721</v>
      </c>
      <c r="AP126" s="1" t="s">
        <v>722</v>
      </c>
      <c r="AQ126" s="1" t="s">
        <v>74</v>
      </c>
      <c r="AR126" s="1" t="s">
        <v>74</v>
      </c>
      <c r="AS126" s="1" t="s">
        <v>74</v>
      </c>
      <c r="AT126" s="1" t="s">
        <v>1455</v>
      </c>
      <c r="AU126" s="1">
        <v>2020.0</v>
      </c>
      <c r="AV126" s="1">
        <v>719.0</v>
      </c>
      <c r="AW126" s="1" t="s">
        <v>74</v>
      </c>
      <c r="AX126" s="1" t="s">
        <v>74</v>
      </c>
      <c r="AY126" s="1" t="s">
        <v>74</v>
      </c>
      <c r="AZ126" s="1" t="s">
        <v>74</v>
      </c>
      <c r="BA126" s="1" t="s">
        <v>74</v>
      </c>
      <c r="BB126" s="1" t="s">
        <v>74</v>
      </c>
      <c r="BC126" s="1" t="s">
        <v>74</v>
      </c>
      <c r="BD126" s="1">
        <v>137411.0</v>
      </c>
      <c r="BE126" s="1" t="s">
        <v>1456</v>
      </c>
      <c r="BF126" s="2" t="str">
        <f>HYPERLINK("http://dx.doi.org/10.1016/j.scitotenv.2020.137411","http://dx.doi.org/10.1016/j.scitotenv.2020.137411")</f>
        <v>http://dx.doi.org/10.1016/j.scitotenv.2020.137411</v>
      </c>
      <c r="BG126" s="1" t="s">
        <v>74</v>
      </c>
      <c r="BH126" s="1" t="s">
        <v>74</v>
      </c>
      <c r="BI126" s="1" t="s">
        <v>74</v>
      </c>
      <c r="BJ126" s="1" t="s">
        <v>74</v>
      </c>
      <c r="BK126" s="1" t="s">
        <v>74</v>
      </c>
      <c r="BL126" s="1" t="s">
        <v>74</v>
      </c>
      <c r="BM126" s="1" t="s">
        <v>74</v>
      </c>
      <c r="BN126" s="1">
        <v>3.2145491E7</v>
      </c>
      <c r="BO126" s="1" t="s">
        <v>74</v>
      </c>
      <c r="BP126" s="1" t="s">
        <v>74</v>
      </c>
      <c r="BQ126" s="1" t="s">
        <v>74</v>
      </c>
      <c r="BR126" s="1" t="s">
        <v>74</v>
      </c>
      <c r="BS126" s="1" t="s">
        <v>1457</v>
      </c>
      <c r="BT126" s="1" t="str">
        <f>HYPERLINK("https%3A%2F%2Fwww.webofscience.com%2Fwos%2Fwoscc%2Ffull-record%2FWOS:000521936300063","View Full Record in Web of Science")</f>
        <v>View Full Record in Web of Science</v>
      </c>
    </row>
    <row r="127" ht="12.75" customHeight="1">
      <c r="A127" s="1" t="s">
        <v>72</v>
      </c>
      <c r="B127" s="1" t="s">
        <v>1458</v>
      </c>
      <c r="C127" s="1" t="s">
        <v>74</v>
      </c>
      <c r="D127" s="1" t="s">
        <v>74</v>
      </c>
      <c r="E127" s="1" t="s">
        <v>74</v>
      </c>
      <c r="F127" s="1" t="s">
        <v>1459</v>
      </c>
      <c r="G127" s="1" t="s">
        <v>74</v>
      </c>
      <c r="H127" s="1" t="s">
        <v>74</v>
      </c>
      <c r="I127" s="1" t="s">
        <v>1460</v>
      </c>
      <c r="J127" s="1" t="s">
        <v>329</v>
      </c>
      <c r="K127" s="1" t="s">
        <v>74</v>
      </c>
      <c r="L127" s="1" t="s">
        <v>74</v>
      </c>
      <c r="M127" s="1" t="s">
        <v>74</v>
      </c>
      <c r="N127" s="1" t="s">
        <v>74</v>
      </c>
      <c r="O127" s="1" t="s">
        <v>74</v>
      </c>
      <c r="P127" s="1" t="s">
        <v>74</v>
      </c>
      <c r="Q127" s="1" t="s">
        <v>74</v>
      </c>
      <c r="R127" s="1" t="s">
        <v>74</v>
      </c>
      <c r="S127" s="1" t="s">
        <v>74</v>
      </c>
      <c r="T127" s="1" t="s">
        <v>74</v>
      </c>
      <c r="U127" s="1" t="s">
        <v>74</v>
      </c>
      <c r="V127" s="1" t="s">
        <v>1461</v>
      </c>
      <c r="W127" s="1" t="s">
        <v>74</v>
      </c>
      <c r="X127" s="1" t="s">
        <v>74</v>
      </c>
      <c r="Y127" s="1" t="s">
        <v>74</v>
      </c>
      <c r="Z127" s="1" t="s">
        <v>74</v>
      </c>
      <c r="AA127" s="1" t="s">
        <v>1462</v>
      </c>
      <c r="AB127" s="1" t="s">
        <v>1463</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333</v>
      </c>
      <c r="AP127" s="1" t="s">
        <v>74</v>
      </c>
      <c r="AQ127" s="1" t="s">
        <v>74</v>
      </c>
      <c r="AR127" s="1" t="s">
        <v>74</v>
      </c>
      <c r="AS127" s="1" t="s">
        <v>74</v>
      </c>
      <c r="AT127" s="1" t="s">
        <v>723</v>
      </c>
      <c r="AU127" s="1">
        <v>2019.0</v>
      </c>
      <c r="AV127" s="1">
        <v>10.0</v>
      </c>
      <c r="AW127" s="1" t="s">
        <v>74</v>
      </c>
      <c r="AX127" s="1" t="s">
        <v>74</v>
      </c>
      <c r="AY127" s="1" t="s">
        <v>74</v>
      </c>
      <c r="AZ127" s="1" t="s">
        <v>74</v>
      </c>
      <c r="BA127" s="1" t="s">
        <v>74</v>
      </c>
      <c r="BB127" s="1" t="s">
        <v>74</v>
      </c>
      <c r="BC127" s="1" t="s">
        <v>74</v>
      </c>
      <c r="BD127" s="1">
        <v>3098.0</v>
      </c>
      <c r="BE127" s="1" t="s">
        <v>1464</v>
      </c>
      <c r="BF127" s="2" t="str">
        <f>HYPERLINK("http://dx.doi.org/10.1038/s41467-019-11090-3","http://dx.doi.org/10.1038/s41467-019-11090-3")</f>
        <v>http://dx.doi.org/10.1038/s41467-019-11090-3</v>
      </c>
      <c r="BG127" s="1" t="s">
        <v>74</v>
      </c>
      <c r="BH127" s="1" t="s">
        <v>74</v>
      </c>
      <c r="BI127" s="1" t="s">
        <v>74</v>
      </c>
      <c r="BJ127" s="1" t="s">
        <v>74</v>
      </c>
      <c r="BK127" s="1" t="s">
        <v>74</v>
      </c>
      <c r="BL127" s="1" t="s">
        <v>74</v>
      </c>
      <c r="BM127" s="1" t="s">
        <v>74</v>
      </c>
      <c r="BN127" s="1">
        <v>3.1308369E7</v>
      </c>
      <c r="BO127" s="1" t="s">
        <v>74</v>
      </c>
      <c r="BP127" s="1" t="s">
        <v>74</v>
      </c>
      <c r="BQ127" s="1" t="s">
        <v>74</v>
      </c>
      <c r="BR127" s="1" t="s">
        <v>74</v>
      </c>
      <c r="BS127" s="1" t="s">
        <v>1465</v>
      </c>
      <c r="BT127" s="1" t="str">
        <f>HYPERLINK("https%3A%2F%2Fwww.webofscience.com%2Fwos%2Fwoscc%2Ffull-record%2FWOS:000475469200002","View Full Record in Web of Science")</f>
        <v>View Full Record in Web of Science</v>
      </c>
    </row>
    <row r="128" ht="12.75" customHeight="1">
      <c r="A128" s="1" t="s">
        <v>72</v>
      </c>
      <c r="B128" s="1" t="s">
        <v>1466</v>
      </c>
      <c r="C128" s="1" t="s">
        <v>74</v>
      </c>
      <c r="D128" s="1" t="s">
        <v>74</v>
      </c>
      <c r="E128" s="1" t="s">
        <v>74</v>
      </c>
      <c r="F128" s="1" t="s">
        <v>1467</v>
      </c>
      <c r="G128" s="1" t="s">
        <v>74</v>
      </c>
      <c r="H128" s="1" t="s">
        <v>74</v>
      </c>
      <c r="I128" s="1" t="s">
        <v>1468</v>
      </c>
      <c r="J128" s="1" t="s">
        <v>1469</v>
      </c>
      <c r="K128" s="1" t="s">
        <v>74</v>
      </c>
      <c r="L128" s="1" t="s">
        <v>74</v>
      </c>
      <c r="M128" s="1" t="s">
        <v>74</v>
      </c>
      <c r="N128" s="1" t="s">
        <v>74</v>
      </c>
      <c r="O128" s="1" t="s">
        <v>74</v>
      </c>
      <c r="P128" s="1" t="s">
        <v>74</v>
      </c>
      <c r="Q128" s="1" t="s">
        <v>74</v>
      </c>
      <c r="R128" s="1" t="s">
        <v>74</v>
      </c>
      <c r="S128" s="1" t="s">
        <v>74</v>
      </c>
      <c r="T128" s="1" t="s">
        <v>74</v>
      </c>
      <c r="U128" s="1" t="s">
        <v>74</v>
      </c>
      <c r="V128" s="1" t="s">
        <v>1470</v>
      </c>
      <c r="W128" s="1" t="s">
        <v>74</v>
      </c>
      <c r="X128" s="1" t="s">
        <v>74</v>
      </c>
      <c r="Y128" s="1" t="s">
        <v>74</v>
      </c>
      <c r="Z128" s="1" t="s">
        <v>74</v>
      </c>
      <c r="AA128" s="1" t="s">
        <v>1471</v>
      </c>
      <c r="AB128" s="1" t="s">
        <v>1472</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1473</v>
      </c>
      <c r="AP128" s="1" t="s">
        <v>74</v>
      </c>
      <c r="AQ128" s="1" t="s">
        <v>74</v>
      </c>
      <c r="AR128" s="1" t="s">
        <v>74</v>
      </c>
      <c r="AS128" s="1" t="s">
        <v>74</v>
      </c>
      <c r="AT128" s="1" t="s">
        <v>936</v>
      </c>
      <c r="AU128" s="1">
        <v>2018.0</v>
      </c>
      <c r="AV128" s="1">
        <v>12.0</v>
      </c>
      <c r="AW128" s="1" t="s">
        <v>74</v>
      </c>
      <c r="AX128" s="1" t="s">
        <v>74</v>
      </c>
      <c r="AY128" s="1" t="s">
        <v>74</v>
      </c>
      <c r="AZ128" s="1" t="s">
        <v>74</v>
      </c>
      <c r="BA128" s="1" t="s">
        <v>74</v>
      </c>
      <c r="BB128" s="1" t="s">
        <v>74</v>
      </c>
      <c r="BC128" s="1" t="s">
        <v>74</v>
      </c>
      <c r="BD128" s="1">
        <v>12.0</v>
      </c>
      <c r="BE128" s="1" t="s">
        <v>1474</v>
      </c>
      <c r="BF128" s="2" t="str">
        <f>HYPERLINK("http://dx.doi.org/10.3389/fncel.2018.00012","http://dx.doi.org/10.3389/fncel.2018.00012")</f>
        <v>http://dx.doi.org/10.3389/fncel.2018.00012</v>
      </c>
      <c r="BG128" s="1" t="s">
        <v>74</v>
      </c>
      <c r="BH128" s="1" t="s">
        <v>74</v>
      </c>
      <c r="BI128" s="1" t="s">
        <v>74</v>
      </c>
      <c r="BJ128" s="1" t="s">
        <v>74</v>
      </c>
      <c r="BK128" s="1" t="s">
        <v>74</v>
      </c>
      <c r="BL128" s="1" t="s">
        <v>74</v>
      </c>
      <c r="BM128" s="1" t="s">
        <v>74</v>
      </c>
      <c r="BN128" s="1">
        <v>2.9440991E7</v>
      </c>
      <c r="BO128" s="1" t="s">
        <v>74</v>
      </c>
      <c r="BP128" s="1" t="s">
        <v>74</v>
      </c>
      <c r="BQ128" s="1" t="s">
        <v>74</v>
      </c>
      <c r="BR128" s="1" t="s">
        <v>74</v>
      </c>
      <c r="BS128" s="1" t="s">
        <v>1475</v>
      </c>
      <c r="BT128" s="1" t="str">
        <f>HYPERLINK("https%3A%2F%2Fwww.webofscience.com%2Fwos%2Fwoscc%2Ffull-record%2FWOS:000423590600002","View Full Record in Web of Science")</f>
        <v>View Full Record in Web of Science</v>
      </c>
    </row>
    <row r="129" ht="12.75" customHeight="1">
      <c r="A129" s="1" t="s">
        <v>72</v>
      </c>
      <c r="B129" s="1" t="s">
        <v>1476</v>
      </c>
      <c r="C129" s="1" t="s">
        <v>74</v>
      </c>
      <c r="D129" s="1" t="s">
        <v>74</v>
      </c>
      <c r="E129" s="1" t="s">
        <v>74</v>
      </c>
      <c r="F129" s="1" t="s">
        <v>1477</v>
      </c>
      <c r="G129" s="1" t="s">
        <v>74</v>
      </c>
      <c r="H129" s="1" t="s">
        <v>74</v>
      </c>
      <c r="I129" s="1" t="s">
        <v>1478</v>
      </c>
      <c r="J129" s="1" t="s">
        <v>1479</v>
      </c>
      <c r="K129" s="1" t="s">
        <v>74</v>
      </c>
      <c r="L129" s="1" t="s">
        <v>74</v>
      </c>
      <c r="M129" s="1" t="s">
        <v>74</v>
      </c>
      <c r="N129" s="1" t="s">
        <v>74</v>
      </c>
      <c r="O129" s="1" t="s">
        <v>74</v>
      </c>
      <c r="P129" s="1" t="s">
        <v>74</v>
      </c>
      <c r="Q129" s="1" t="s">
        <v>74</v>
      </c>
      <c r="R129" s="1" t="s">
        <v>74</v>
      </c>
      <c r="S129" s="1" t="s">
        <v>74</v>
      </c>
      <c r="T129" s="1" t="s">
        <v>74</v>
      </c>
      <c r="U129" s="1" t="s">
        <v>74</v>
      </c>
      <c r="V129" s="1" t="s">
        <v>1480</v>
      </c>
      <c r="W129" s="1" t="s">
        <v>74</v>
      </c>
      <c r="X129" s="1" t="s">
        <v>74</v>
      </c>
      <c r="Y129" s="1" t="s">
        <v>74</v>
      </c>
      <c r="Z129" s="1" t="s">
        <v>74</v>
      </c>
      <c r="AA129" s="1" t="s">
        <v>1481</v>
      </c>
      <c r="AB129" s="1" t="s">
        <v>1482</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1483</v>
      </c>
      <c r="AP129" s="1" t="s">
        <v>1484</v>
      </c>
      <c r="AQ129" s="1" t="s">
        <v>74</v>
      </c>
      <c r="AR129" s="1" t="s">
        <v>74</v>
      </c>
      <c r="AS129" s="1" t="s">
        <v>74</v>
      </c>
      <c r="AT129" s="1" t="s">
        <v>94</v>
      </c>
      <c r="AU129" s="1">
        <v>2016.0</v>
      </c>
      <c r="AV129" s="1">
        <v>177.0</v>
      </c>
      <c r="AW129" s="1" t="s">
        <v>74</v>
      </c>
      <c r="AX129" s="1" t="s">
        <v>74</v>
      </c>
      <c r="AY129" s="1" t="s">
        <v>74</v>
      </c>
      <c r="AZ129" s="1" t="s">
        <v>74</v>
      </c>
      <c r="BA129" s="1" t="s">
        <v>74</v>
      </c>
      <c r="BB129" s="1">
        <v>83.0</v>
      </c>
      <c r="BC129" s="1">
        <v>90.0</v>
      </c>
      <c r="BD129" s="1" t="s">
        <v>74</v>
      </c>
      <c r="BE129" s="1" t="s">
        <v>1485</v>
      </c>
      <c r="BF129" s="2" t="str">
        <f>HYPERLINK("http://dx.doi.org/10.1016/j.compstruc.2016.08.009","http://dx.doi.org/10.1016/j.compstruc.2016.08.009")</f>
        <v>http://dx.doi.org/10.1016/j.compstruc.2016.08.009</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1486</v>
      </c>
      <c r="BT129" s="1" t="str">
        <f>HYPERLINK("https%3A%2F%2Fwww.webofscience.com%2Fwos%2Fwoscc%2Ffull-record%2FWOS:000386989300007","View Full Record in Web of Science")</f>
        <v>View Full Record in Web of Science</v>
      </c>
    </row>
    <row r="130" ht="12.75" customHeight="1">
      <c r="A130" s="1" t="s">
        <v>72</v>
      </c>
      <c r="B130" s="1" t="s">
        <v>1487</v>
      </c>
      <c r="C130" s="1" t="s">
        <v>74</v>
      </c>
      <c r="D130" s="1" t="s">
        <v>74</v>
      </c>
      <c r="E130" s="1" t="s">
        <v>74</v>
      </c>
      <c r="F130" s="1" t="s">
        <v>1488</v>
      </c>
      <c r="G130" s="1" t="s">
        <v>74</v>
      </c>
      <c r="H130" s="1" t="s">
        <v>74</v>
      </c>
      <c r="I130" s="1" t="s">
        <v>1489</v>
      </c>
      <c r="J130" s="1" t="s">
        <v>983</v>
      </c>
      <c r="K130" s="1" t="s">
        <v>74</v>
      </c>
      <c r="L130" s="1" t="s">
        <v>74</v>
      </c>
      <c r="M130" s="1" t="s">
        <v>74</v>
      </c>
      <c r="N130" s="1" t="s">
        <v>74</v>
      </c>
      <c r="O130" s="1" t="s">
        <v>74</v>
      </c>
      <c r="P130" s="1" t="s">
        <v>74</v>
      </c>
      <c r="Q130" s="1" t="s">
        <v>74</v>
      </c>
      <c r="R130" s="1" t="s">
        <v>74</v>
      </c>
      <c r="S130" s="1" t="s">
        <v>74</v>
      </c>
      <c r="T130" s="1" t="s">
        <v>74</v>
      </c>
      <c r="U130" s="1" t="s">
        <v>74</v>
      </c>
      <c r="V130" s="1" t="s">
        <v>1490</v>
      </c>
      <c r="W130" s="1" t="s">
        <v>74</v>
      </c>
      <c r="X130" s="1" t="s">
        <v>74</v>
      </c>
      <c r="Y130" s="1" t="s">
        <v>74</v>
      </c>
      <c r="Z130" s="1" t="s">
        <v>74</v>
      </c>
      <c r="AA130" s="1" t="s">
        <v>1491</v>
      </c>
      <c r="AB130" s="1" t="s">
        <v>1492</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987</v>
      </c>
      <c r="AP130" s="1" t="s">
        <v>74</v>
      </c>
      <c r="AQ130" s="1" t="s">
        <v>74</v>
      </c>
      <c r="AR130" s="1" t="s">
        <v>74</v>
      </c>
      <c r="AS130" s="1" t="s">
        <v>74</v>
      </c>
      <c r="AT130" s="1" t="s">
        <v>1493</v>
      </c>
      <c r="AU130" s="1">
        <v>2012.0</v>
      </c>
      <c r="AV130" s="1">
        <v>41.0</v>
      </c>
      <c r="AW130" s="1">
        <v>1.0</v>
      </c>
      <c r="AX130" s="1" t="s">
        <v>74</v>
      </c>
      <c r="AY130" s="1" t="s">
        <v>74</v>
      </c>
      <c r="AZ130" s="1" t="s">
        <v>74</v>
      </c>
      <c r="BA130" s="1" t="s">
        <v>74</v>
      </c>
      <c r="BB130" s="1">
        <v>120.0</v>
      </c>
      <c r="BC130" s="1">
        <v>126.0</v>
      </c>
      <c r="BD130" s="1" t="s">
        <v>74</v>
      </c>
      <c r="BE130" s="1" t="s">
        <v>1494</v>
      </c>
      <c r="BF130" s="2" t="str">
        <f>HYPERLINK("http://dx.doi.org/10.1016/j.poly.2012.04.031","http://dx.doi.org/10.1016/j.poly.2012.04.031")</f>
        <v>http://dx.doi.org/10.1016/j.poly.2012.04.031</v>
      </c>
      <c r="BG130" s="1" t="s">
        <v>74</v>
      </c>
      <c r="BH130" s="1" t="s">
        <v>74</v>
      </c>
      <c r="BI130" s="1" t="s">
        <v>74</v>
      </c>
      <c r="BJ130" s="1" t="s">
        <v>74</v>
      </c>
      <c r="BK130" s="1" t="s">
        <v>74</v>
      </c>
      <c r="BL130" s="1" t="s">
        <v>74</v>
      </c>
      <c r="BM130" s="1" t="s">
        <v>74</v>
      </c>
      <c r="BN130" s="1" t="s">
        <v>74</v>
      </c>
      <c r="BO130" s="1" t="s">
        <v>74</v>
      </c>
      <c r="BP130" s="1" t="s">
        <v>74</v>
      </c>
      <c r="BQ130" s="1" t="s">
        <v>74</v>
      </c>
      <c r="BR130" s="1" t="s">
        <v>74</v>
      </c>
      <c r="BS130" s="1" t="s">
        <v>1495</v>
      </c>
      <c r="BT130" s="1" t="str">
        <f>HYPERLINK("https%3A%2F%2Fwww.webofscience.com%2Fwos%2Fwoscc%2Ffull-record%2FWOS:000309096800016","View Full Record in Web of Science")</f>
        <v>View Full Record in Web of Science</v>
      </c>
    </row>
    <row r="131" ht="12.75" customHeight="1">
      <c r="A131" s="1" t="s">
        <v>72</v>
      </c>
      <c r="B131" s="1" t="s">
        <v>1496</v>
      </c>
      <c r="C131" s="1" t="s">
        <v>74</v>
      </c>
      <c r="D131" s="1" t="s">
        <v>74</v>
      </c>
      <c r="E131" s="1" t="s">
        <v>74</v>
      </c>
      <c r="F131" s="1" t="s">
        <v>1497</v>
      </c>
      <c r="G131" s="1" t="s">
        <v>74</v>
      </c>
      <c r="H131" s="1" t="s">
        <v>74</v>
      </c>
      <c r="I131" s="1" t="s">
        <v>1498</v>
      </c>
      <c r="J131" s="1" t="s">
        <v>1499</v>
      </c>
      <c r="K131" s="1" t="s">
        <v>74</v>
      </c>
      <c r="L131" s="1" t="s">
        <v>74</v>
      </c>
      <c r="M131" s="1" t="s">
        <v>74</v>
      </c>
      <c r="N131" s="1" t="s">
        <v>74</v>
      </c>
      <c r="O131" s="1" t="s">
        <v>74</v>
      </c>
      <c r="P131" s="1" t="s">
        <v>74</v>
      </c>
      <c r="Q131" s="1" t="s">
        <v>74</v>
      </c>
      <c r="R131" s="1" t="s">
        <v>74</v>
      </c>
      <c r="S131" s="1" t="s">
        <v>74</v>
      </c>
      <c r="T131" s="1" t="s">
        <v>74</v>
      </c>
      <c r="U131" s="1" t="s">
        <v>74</v>
      </c>
      <c r="V131" s="1" t="s">
        <v>1500</v>
      </c>
      <c r="W131" s="1" t="s">
        <v>74</v>
      </c>
      <c r="X131" s="1" t="s">
        <v>74</v>
      </c>
      <c r="Y131" s="1" t="s">
        <v>74</v>
      </c>
      <c r="Z131" s="1" t="s">
        <v>74</v>
      </c>
      <c r="AA131" s="1" t="s">
        <v>1501</v>
      </c>
      <c r="AB131" s="1" t="s">
        <v>1502</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1503</v>
      </c>
      <c r="AP131" s="1" t="s">
        <v>1504</v>
      </c>
      <c r="AQ131" s="1" t="s">
        <v>74</v>
      </c>
      <c r="AR131" s="1" t="s">
        <v>74</v>
      </c>
      <c r="AS131" s="1" t="s">
        <v>74</v>
      </c>
      <c r="AT131" s="1" t="s">
        <v>1505</v>
      </c>
      <c r="AU131" s="1">
        <v>2023.0</v>
      </c>
      <c r="AV131" s="1">
        <v>202.0</v>
      </c>
      <c r="AW131" s="1" t="s">
        <v>74</v>
      </c>
      <c r="AX131" s="1" t="s">
        <v>74</v>
      </c>
      <c r="AY131" s="1" t="s">
        <v>74</v>
      </c>
      <c r="AZ131" s="1" t="s">
        <v>74</v>
      </c>
      <c r="BA131" s="1" t="s">
        <v>74</v>
      </c>
      <c r="BB131" s="1" t="s">
        <v>74</v>
      </c>
      <c r="BC131" s="1" t="s">
        <v>74</v>
      </c>
      <c r="BD131" s="1">
        <v>116977.0</v>
      </c>
      <c r="BE131" s="1" t="s">
        <v>1506</v>
      </c>
      <c r="BF131" s="2" t="str">
        <f>HYPERLINK("http://dx.doi.org/10.1016/j.indcrop.2023.116977","http://dx.doi.org/10.1016/j.indcrop.2023.116977")</f>
        <v>http://dx.doi.org/10.1016/j.indcrop.2023.116977</v>
      </c>
      <c r="BG131" s="1" t="s">
        <v>74</v>
      </c>
      <c r="BH131" s="1" t="s">
        <v>1507</v>
      </c>
      <c r="BI131" s="1" t="s">
        <v>74</v>
      </c>
      <c r="BJ131" s="1" t="s">
        <v>74</v>
      </c>
      <c r="BK131" s="1" t="s">
        <v>74</v>
      </c>
      <c r="BL131" s="1" t="s">
        <v>74</v>
      </c>
      <c r="BM131" s="1" t="s">
        <v>74</v>
      </c>
      <c r="BN131" s="1" t="s">
        <v>74</v>
      </c>
      <c r="BO131" s="1" t="s">
        <v>74</v>
      </c>
      <c r="BP131" s="1" t="s">
        <v>74</v>
      </c>
      <c r="BQ131" s="1" t="s">
        <v>74</v>
      </c>
      <c r="BR131" s="1" t="s">
        <v>74</v>
      </c>
      <c r="BS131" s="1" t="s">
        <v>1508</v>
      </c>
      <c r="BT131" s="1" t="str">
        <f>HYPERLINK("https%3A%2F%2Fwww.webofscience.com%2Fwos%2Fwoscc%2Ffull-record%2FWOS:001023439800001","View Full Record in Web of Science")</f>
        <v>View Full Record in Web of Science</v>
      </c>
    </row>
    <row r="132" ht="12.75" customHeight="1">
      <c r="A132" s="1" t="s">
        <v>72</v>
      </c>
      <c r="B132" s="1" t="s">
        <v>1509</v>
      </c>
      <c r="C132" s="1" t="s">
        <v>74</v>
      </c>
      <c r="D132" s="1" t="s">
        <v>74</v>
      </c>
      <c r="E132" s="1" t="s">
        <v>74</v>
      </c>
      <c r="F132" s="1" t="s">
        <v>1510</v>
      </c>
      <c r="G132" s="1" t="s">
        <v>74</v>
      </c>
      <c r="H132" s="1" t="s">
        <v>74</v>
      </c>
      <c r="I132" s="1" t="s">
        <v>1511</v>
      </c>
      <c r="J132" s="1" t="s">
        <v>1512</v>
      </c>
      <c r="K132" s="1" t="s">
        <v>74</v>
      </c>
      <c r="L132" s="1" t="s">
        <v>74</v>
      </c>
      <c r="M132" s="1" t="s">
        <v>74</v>
      </c>
      <c r="N132" s="1" t="s">
        <v>74</v>
      </c>
      <c r="O132" s="1" t="s">
        <v>74</v>
      </c>
      <c r="P132" s="1" t="s">
        <v>74</v>
      </c>
      <c r="Q132" s="1" t="s">
        <v>74</v>
      </c>
      <c r="R132" s="1" t="s">
        <v>74</v>
      </c>
      <c r="S132" s="1" t="s">
        <v>74</v>
      </c>
      <c r="T132" s="1" t="s">
        <v>74</v>
      </c>
      <c r="U132" s="1" t="s">
        <v>74</v>
      </c>
      <c r="V132" s="1" t="s">
        <v>1513</v>
      </c>
      <c r="W132" s="1" t="s">
        <v>74</v>
      </c>
      <c r="X132" s="1" t="s">
        <v>74</v>
      </c>
      <c r="Y132" s="1" t="s">
        <v>74</v>
      </c>
      <c r="Z132" s="1" t="s">
        <v>74</v>
      </c>
      <c r="AA132" s="1" t="s">
        <v>1514</v>
      </c>
      <c r="AB132" s="1" t="s">
        <v>1515</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1516</v>
      </c>
      <c r="AP132" s="1" t="s">
        <v>1517</v>
      </c>
      <c r="AQ132" s="1" t="s">
        <v>74</v>
      </c>
      <c r="AR132" s="1" t="s">
        <v>74</v>
      </c>
      <c r="AS132" s="1" t="s">
        <v>74</v>
      </c>
      <c r="AT132" s="1" t="s">
        <v>74</v>
      </c>
      <c r="AU132" s="1">
        <v>2023.0</v>
      </c>
      <c r="AV132" s="1">
        <v>39.0</v>
      </c>
      <c r="AW132" s="1">
        <v>7.0</v>
      </c>
      <c r="AX132" s="1" t="s">
        <v>74</v>
      </c>
      <c r="AY132" s="1" t="s">
        <v>74</v>
      </c>
      <c r="AZ132" s="1" t="s">
        <v>74</v>
      </c>
      <c r="BA132" s="1" t="s">
        <v>74</v>
      </c>
      <c r="BB132" s="1">
        <v>3753.0</v>
      </c>
      <c r="BC132" s="1">
        <v>3782.0</v>
      </c>
      <c r="BD132" s="1" t="s">
        <v>74</v>
      </c>
      <c r="BE132" s="1" t="s">
        <v>1518</v>
      </c>
      <c r="BF132" s="2" t="str">
        <f>HYPERLINK("http://dx.doi.org/10.1080/87559129.2021.2013498","http://dx.doi.org/10.1080/87559129.2021.2013498")</f>
        <v>http://dx.doi.org/10.1080/87559129.2021.2013498</v>
      </c>
      <c r="BG132" s="1" t="s">
        <v>74</v>
      </c>
      <c r="BH132" s="1" t="s">
        <v>1519</v>
      </c>
      <c r="BI132" s="1" t="s">
        <v>74</v>
      </c>
      <c r="BJ132" s="1" t="s">
        <v>74</v>
      </c>
      <c r="BK132" s="1" t="s">
        <v>74</v>
      </c>
      <c r="BL132" s="1" t="s">
        <v>74</v>
      </c>
      <c r="BM132" s="1" t="s">
        <v>74</v>
      </c>
      <c r="BN132" s="1" t="s">
        <v>74</v>
      </c>
      <c r="BO132" s="1" t="s">
        <v>74</v>
      </c>
      <c r="BP132" s="1" t="s">
        <v>74</v>
      </c>
      <c r="BQ132" s="1" t="s">
        <v>74</v>
      </c>
      <c r="BR132" s="1" t="s">
        <v>74</v>
      </c>
      <c r="BS132" s="1" t="s">
        <v>1520</v>
      </c>
      <c r="BT132" s="1" t="str">
        <f>HYPERLINK("https%3A%2F%2Fwww.webofscience.com%2Fwos%2Fwoscc%2Ffull-record%2FWOS:000739723900001","View Full Record in Web of Science")</f>
        <v>View Full Record in Web of Science</v>
      </c>
    </row>
    <row r="133" ht="12.75" customHeight="1">
      <c r="A133" s="1" t="s">
        <v>72</v>
      </c>
      <c r="B133" s="1" t="s">
        <v>1521</v>
      </c>
      <c r="C133" s="1" t="s">
        <v>74</v>
      </c>
      <c r="D133" s="1" t="s">
        <v>74</v>
      </c>
      <c r="E133" s="1" t="s">
        <v>74</v>
      </c>
      <c r="F133" s="1" t="s">
        <v>1522</v>
      </c>
      <c r="G133" s="1" t="s">
        <v>74</v>
      </c>
      <c r="H133" s="1" t="s">
        <v>74</v>
      </c>
      <c r="I133" s="1" t="s">
        <v>1523</v>
      </c>
      <c r="J133" s="1" t="s">
        <v>1057</v>
      </c>
      <c r="K133" s="1" t="s">
        <v>74</v>
      </c>
      <c r="L133" s="1" t="s">
        <v>74</v>
      </c>
      <c r="M133" s="1" t="s">
        <v>74</v>
      </c>
      <c r="N133" s="1" t="s">
        <v>74</v>
      </c>
      <c r="O133" s="1" t="s">
        <v>74</v>
      </c>
      <c r="P133" s="1" t="s">
        <v>74</v>
      </c>
      <c r="Q133" s="1" t="s">
        <v>74</v>
      </c>
      <c r="R133" s="1" t="s">
        <v>74</v>
      </c>
      <c r="S133" s="1" t="s">
        <v>74</v>
      </c>
      <c r="T133" s="1" t="s">
        <v>74</v>
      </c>
      <c r="U133" s="1" t="s">
        <v>74</v>
      </c>
      <c r="V133" s="1" t="s">
        <v>1524</v>
      </c>
      <c r="W133" s="1" t="s">
        <v>74</v>
      </c>
      <c r="X133" s="1" t="s">
        <v>74</v>
      </c>
      <c r="Y133" s="1" t="s">
        <v>74</v>
      </c>
      <c r="Z133" s="1" t="s">
        <v>74</v>
      </c>
      <c r="AA133" s="1" t="s">
        <v>1525</v>
      </c>
      <c r="AB133" s="1" t="s">
        <v>1526</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74</v>
      </c>
      <c r="AP133" s="1" t="s">
        <v>1061</v>
      </c>
      <c r="AQ133" s="1" t="s">
        <v>74</v>
      </c>
      <c r="AR133" s="1" t="s">
        <v>74</v>
      </c>
      <c r="AS133" s="1" t="s">
        <v>74</v>
      </c>
      <c r="AT133" s="1" t="s">
        <v>239</v>
      </c>
      <c r="AU133" s="1">
        <v>2021.0</v>
      </c>
      <c r="AV133" s="1">
        <v>18.0</v>
      </c>
      <c r="AW133" s="1">
        <v>9.0</v>
      </c>
      <c r="AX133" s="1" t="s">
        <v>74</v>
      </c>
      <c r="AY133" s="1" t="s">
        <v>74</v>
      </c>
      <c r="AZ133" s="1" t="s">
        <v>74</v>
      </c>
      <c r="BA133" s="1" t="s">
        <v>74</v>
      </c>
      <c r="BB133" s="1" t="s">
        <v>74</v>
      </c>
      <c r="BC133" s="1" t="s">
        <v>74</v>
      </c>
      <c r="BD133" s="1">
        <v>4490.0</v>
      </c>
      <c r="BE133" s="1" t="s">
        <v>1527</v>
      </c>
      <c r="BF133" s="2" t="str">
        <f>HYPERLINK("http://dx.doi.org/10.3390/ijerph18094490","http://dx.doi.org/10.3390/ijerph18094490")</f>
        <v>http://dx.doi.org/10.3390/ijerph18094490</v>
      </c>
      <c r="BG133" s="1" t="s">
        <v>74</v>
      </c>
      <c r="BH133" s="1" t="s">
        <v>74</v>
      </c>
      <c r="BI133" s="1" t="s">
        <v>74</v>
      </c>
      <c r="BJ133" s="1" t="s">
        <v>74</v>
      </c>
      <c r="BK133" s="1" t="s">
        <v>74</v>
      </c>
      <c r="BL133" s="1" t="s">
        <v>74</v>
      </c>
      <c r="BM133" s="1" t="s">
        <v>74</v>
      </c>
      <c r="BN133" s="1">
        <v>3.3922666E7</v>
      </c>
      <c r="BO133" s="1" t="s">
        <v>74</v>
      </c>
      <c r="BP133" s="1" t="s">
        <v>74</v>
      </c>
      <c r="BQ133" s="1" t="s">
        <v>74</v>
      </c>
      <c r="BR133" s="1" t="s">
        <v>74</v>
      </c>
      <c r="BS133" s="1" t="s">
        <v>1528</v>
      </c>
      <c r="BT133" s="1" t="str">
        <f>HYPERLINK("https%3A%2F%2Fwww.webofscience.com%2Fwos%2Fwoscc%2Ffull-record%2FWOS:000650269600001","View Full Record in Web of Science")</f>
        <v>View Full Record in Web of Science</v>
      </c>
    </row>
    <row r="134" ht="12.75" customHeight="1">
      <c r="A134" s="1" t="s">
        <v>72</v>
      </c>
      <c r="B134" s="1" t="s">
        <v>1529</v>
      </c>
      <c r="C134" s="1" t="s">
        <v>74</v>
      </c>
      <c r="D134" s="1" t="s">
        <v>74</v>
      </c>
      <c r="E134" s="1" t="s">
        <v>74</v>
      </c>
      <c r="F134" s="1" t="s">
        <v>1530</v>
      </c>
      <c r="G134" s="1" t="s">
        <v>74</v>
      </c>
      <c r="H134" s="1" t="s">
        <v>74</v>
      </c>
      <c r="I134" s="1" t="s">
        <v>1531</v>
      </c>
      <c r="J134" s="1" t="s">
        <v>1308</v>
      </c>
      <c r="K134" s="1" t="s">
        <v>74</v>
      </c>
      <c r="L134" s="1" t="s">
        <v>74</v>
      </c>
      <c r="M134" s="1" t="s">
        <v>74</v>
      </c>
      <c r="N134" s="1" t="s">
        <v>74</v>
      </c>
      <c r="O134" s="1" t="s">
        <v>74</v>
      </c>
      <c r="P134" s="1" t="s">
        <v>74</v>
      </c>
      <c r="Q134" s="1" t="s">
        <v>74</v>
      </c>
      <c r="R134" s="1" t="s">
        <v>74</v>
      </c>
      <c r="S134" s="1" t="s">
        <v>74</v>
      </c>
      <c r="T134" s="1" t="s">
        <v>74</v>
      </c>
      <c r="U134" s="1" t="s">
        <v>74</v>
      </c>
      <c r="V134" s="1" t="s">
        <v>1532</v>
      </c>
      <c r="W134" s="1" t="s">
        <v>74</v>
      </c>
      <c r="X134" s="1" t="s">
        <v>74</v>
      </c>
      <c r="Y134" s="1" t="s">
        <v>74</v>
      </c>
      <c r="Z134" s="1" t="s">
        <v>74</v>
      </c>
      <c r="AA134" s="1" t="s">
        <v>1533</v>
      </c>
      <c r="AB134" s="1" t="s">
        <v>1534</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1316</v>
      </c>
      <c r="AP134" s="1" t="s">
        <v>1535</v>
      </c>
      <c r="AQ134" s="1" t="s">
        <v>74</v>
      </c>
      <c r="AR134" s="1" t="s">
        <v>74</v>
      </c>
      <c r="AS134" s="1" t="s">
        <v>74</v>
      </c>
      <c r="AT134" s="1" t="s">
        <v>426</v>
      </c>
      <c r="AU134" s="1">
        <v>2016.0</v>
      </c>
      <c r="AV134" s="1">
        <v>58.0</v>
      </c>
      <c r="AW134" s="1">
        <v>10.0</v>
      </c>
      <c r="AX134" s="1" t="s">
        <v>74</v>
      </c>
      <c r="AY134" s="1" t="s">
        <v>74</v>
      </c>
      <c r="AZ134" s="1" t="s">
        <v>74</v>
      </c>
      <c r="BA134" s="1" t="s">
        <v>74</v>
      </c>
      <c r="BB134" s="1">
        <v>2126.0</v>
      </c>
      <c r="BC134" s="1">
        <v>2133.0</v>
      </c>
      <c r="BD134" s="1" t="s">
        <v>74</v>
      </c>
      <c r="BE134" s="1" t="s">
        <v>1536</v>
      </c>
      <c r="BF134" s="2" t="str">
        <f>HYPERLINK("http://dx.doi.org/10.1016/j.asr.2016.04.017","http://dx.doi.org/10.1016/j.asr.2016.04.017")</f>
        <v>http://dx.doi.org/10.1016/j.asr.2016.04.017</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1537</v>
      </c>
      <c r="BT134" s="1" t="str">
        <f>HYPERLINK("https%3A%2F%2Fwww.webofscience.com%2Fwos%2Fwoscc%2Ffull-record%2FWOS:000387521000023","View Full Record in Web of Science")</f>
        <v>View Full Record in Web of Science</v>
      </c>
    </row>
    <row r="135" ht="12.75" customHeight="1">
      <c r="A135" s="1" t="s">
        <v>72</v>
      </c>
      <c r="B135" s="1" t="s">
        <v>1538</v>
      </c>
      <c r="C135" s="1" t="s">
        <v>74</v>
      </c>
      <c r="D135" s="1" t="s">
        <v>74</v>
      </c>
      <c r="E135" s="1" t="s">
        <v>74</v>
      </c>
      <c r="F135" s="1" t="s">
        <v>1539</v>
      </c>
      <c r="G135" s="1" t="s">
        <v>74</v>
      </c>
      <c r="H135" s="1" t="s">
        <v>74</v>
      </c>
      <c r="I135" s="1" t="s">
        <v>1540</v>
      </c>
      <c r="J135" s="1" t="s">
        <v>1541</v>
      </c>
      <c r="K135" s="1" t="s">
        <v>74</v>
      </c>
      <c r="L135" s="1" t="s">
        <v>74</v>
      </c>
      <c r="M135" s="1" t="s">
        <v>74</v>
      </c>
      <c r="N135" s="1" t="s">
        <v>74</v>
      </c>
      <c r="O135" s="1" t="s">
        <v>74</v>
      </c>
      <c r="P135" s="1" t="s">
        <v>74</v>
      </c>
      <c r="Q135" s="1" t="s">
        <v>74</v>
      </c>
      <c r="R135" s="1" t="s">
        <v>74</v>
      </c>
      <c r="S135" s="1" t="s">
        <v>74</v>
      </c>
      <c r="T135" s="1" t="s">
        <v>74</v>
      </c>
      <c r="U135" s="1" t="s">
        <v>74</v>
      </c>
      <c r="V135" s="1" t="s">
        <v>1542</v>
      </c>
      <c r="W135" s="1" t="s">
        <v>74</v>
      </c>
      <c r="X135" s="1" t="s">
        <v>74</v>
      </c>
      <c r="Y135" s="1" t="s">
        <v>74</v>
      </c>
      <c r="Z135" s="1" t="s">
        <v>74</v>
      </c>
      <c r="AA135" s="1" t="s">
        <v>400</v>
      </c>
      <c r="AB135" s="1" t="s">
        <v>401</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1543</v>
      </c>
      <c r="AP135" s="1" t="s">
        <v>1544</v>
      </c>
      <c r="AQ135" s="1" t="s">
        <v>74</v>
      </c>
      <c r="AR135" s="1" t="s">
        <v>74</v>
      </c>
      <c r="AS135" s="1" t="s">
        <v>74</v>
      </c>
      <c r="AT135" s="1" t="s">
        <v>74</v>
      </c>
      <c r="AU135" s="1">
        <v>2016.0</v>
      </c>
      <c r="AV135" s="1">
        <v>8.0</v>
      </c>
      <c r="AW135" s="1">
        <v>1.0</v>
      </c>
      <c r="AX135" s="1" t="s">
        <v>74</v>
      </c>
      <c r="AY135" s="1" t="s">
        <v>74</v>
      </c>
      <c r="AZ135" s="1" t="s">
        <v>74</v>
      </c>
      <c r="BA135" s="1" t="s">
        <v>74</v>
      </c>
      <c r="BB135" s="1">
        <v>199.0</v>
      </c>
      <c r="BC135" s="1">
        <v>211.0</v>
      </c>
      <c r="BD135" s="1" t="s">
        <v>74</v>
      </c>
      <c r="BE135" s="1" t="s">
        <v>1545</v>
      </c>
      <c r="BF135" s="2" t="str">
        <f>HYPERLINK("http://dx.doi.org/10.5194/essd-8-199-2016","http://dx.doi.org/10.5194/essd-8-199-2016")</f>
        <v>http://dx.doi.org/10.5194/essd-8-199-2016</v>
      </c>
      <c r="BG135" s="1" t="s">
        <v>74</v>
      </c>
      <c r="BH135" s="1" t="s">
        <v>74</v>
      </c>
      <c r="BI135" s="1" t="s">
        <v>74</v>
      </c>
      <c r="BJ135" s="1" t="s">
        <v>74</v>
      </c>
      <c r="BK135" s="1" t="s">
        <v>74</v>
      </c>
      <c r="BL135" s="1" t="s">
        <v>74</v>
      </c>
      <c r="BM135" s="1" t="s">
        <v>74</v>
      </c>
      <c r="BN135" s="1" t="s">
        <v>74</v>
      </c>
      <c r="BO135" s="1" t="s">
        <v>74</v>
      </c>
      <c r="BP135" s="1" t="s">
        <v>74</v>
      </c>
      <c r="BQ135" s="1" t="s">
        <v>74</v>
      </c>
      <c r="BR135" s="1" t="s">
        <v>74</v>
      </c>
      <c r="BS135" s="1" t="s">
        <v>1546</v>
      </c>
      <c r="BT135" s="1" t="str">
        <f>HYPERLINK("https%3A%2F%2Fwww.webofscience.com%2Fwos%2Fwoscc%2Ffull-record%2FWOS:000378206900016","View Full Record in Web of Science")</f>
        <v>View Full Record in Web of Science</v>
      </c>
    </row>
    <row r="136" ht="12.75" customHeight="1">
      <c r="A136" s="1" t="s">
        <v>72</v>
      </c>
      <c r="B136" s="1" t="s">
        <v>1547</v>
      </c>
      <c r="C136" s="1" t="s">
        <v>74</v>
      </c>
      <c r="D136" s="1" t="s">
        <v>74</v>
      </c>
      <c r="E136" s="1" t="s">
        <v>74</v>
      </c>
      <c r="F136" s="1" t="s">
        <v>1548</v>
      </c>
      <c r="G136" s="1" t="s">
        <v>74</v>
      </c>
      <c r="H136" s="1" t="s">
        <v>74</v>
      </c>
      <c r="I136" s="1" t="s">
        <v>1549</v>
      </c>
      <c r="J136" s="1" t="s">
        <v>1550</v>
      </c>
      <c r="K136" s="1" t="s">
        <v>74</v>
      </c>
      <c r="L136" s="1" t="s">
        <v>74</v>
      </c>
      <c r="M136" s="1" t="s">
        <v>74</v>
      </c>
      <c r="N136" s="1" t="s">
        <v>74</v>
      </c>
      <c r="O136" s="1" t="s">
        <v>74</v>
      </c>
      <c r="P136" s="1" t="s">
        <v>74</v>
      </c>
      <c r="Q136" s="1" t="s">
        <v>74</v>
      </c>
      <c r="R136" s="1" t="s">
        <v>74</v>
      </c>
      <c r="S136" s="1" t="s">
        <v>74</v>
      </c>
      <c r="T136" s="1" t="s">
        <v>74</v>
      </c>
      <c r="U136" s="1" t="s">
        <v>74</v>
      </c>
      <c r="V136" s="1" t="s">
        <v>1551</v>
      </c>
      <c r="W136" s="1" t="s">
        <v>74</v>
      </c>
      <c r="X136" s="1" t="s">
        <v>74</v>
      </c>
      <c r="Y136" s="1" t="s">
        <v>74</v>
      </c>
      <c r="Z136" s="1" t="s">
        <v>74</v>
      </c>
      <c r="AA136" s="1" t="s">
        <v>1552</v>
      </c>
      <c r="AB136" s="1" t="s">
        <v>1553</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1554</v>
      </c>
      <c r="AP136" s="1" t="s">
        <v>74</v>
      </c>
      <c r="AQ136" s="1" t="s">
        <v>74</v>
      </c>
      <c r="AR136" s="1" t="s">
        <v>74</v>
      </c>
      <c r="AS136" s="1" t="s">
        <v>74</v>
      </c>
      <c r="AT136" s="1" t="s">
        <v>1555</v>
      </c>
      <c r="AU136" s="1">
        <v>2009.0</v>
      </c>
      <c r="AV136" s="1">
        <v>48.0</v>
      </c>
      <c r="AW136" s="1">
        <v>18.0</v>
      </c>
      <c r="AX136" s="1" t="s">
        <v>74</v>
      </c>
      <c r="AY136" s="1" t="s">
        <v>74</v>
      </c>
      <c r="AZ136" s="1" t="s">
        <v>74</v>
      </c>
      <c r="BA136" s="1" t="s">
        <v>74</v>
      </c>
      <c r="BB136" s="1">
        <v>8845.0</v>
      </c>
      <c r="BC136" s="1">
        <v>8855.0</v>
      </c>
      <c r="BD136" s="1" t="s">
        <v>74</v>
      </c>
      <c r="BE136" s="1" t="s">
        <v>1556</v>
      </c>
      <c r="BF136" s="2" t="str">
        <f>HYPERLINK("http://dx.doi.org/10.1021/ic901026x","http://dx.doi.org/10.1021/ic901026x")</f>
        <v>http://dx.doi.org/10.1021/ic901026x</v>
      </c>
      <c r="BG136" s="1" t="s">
        <v>74</v>
      </c>
      <c r="BH136" s="1" t="s">
        <v>74</v>
      </c>
      <c r="BI136" s="1" t="s">
        <v>74</v>
      </c>
      <c r="BJ136" s="1" t="s">
        <v>74</v>
      </c>
      <c r="BK136" s="1" t="s">
        <v>74</v>
      </c>
      <c r="BL136" s="1" t="s">
        <v>74</v>
      </c>
      <c r="BM136" s="1" t="s">
        <v>74</v>
      </c>
      <c r="BN136" s="1">
        <v>1.9747001E7</v>
      </c>
      <c r="BO136" s="1" t="s">
        <v>74</v>
      </c>
      <c r="BP136" s="1" t="s">
        <v>74</v>
      </c>
      <c r="BQ136" s="1" t="s">
        <v>74</v>
      </c>
      <c r="BR136" s="1" t="s">
        <v>74</v>
      </c>
      <c r="BS136" s="1" t="s">
        <v>1557</v>
      </c>
      <c r="BT136" s="1" t="str">
        <f>HYPERLINK("https%3A%2F%2Fwww.webofscience.com%2Fwos%2Fwoscc%2Ffull-record%2FWOS:000269671500027","View Full Record in Web of Science")</f>
        <v>View Full Record in Web of Science</v>
      </c>
    </row>
    <row r="137" ht="12.75" customHeight="1">
      <c r="A137" s="1" t="s">
        <v>72</v>
      </c>
      <c r="B137" s="1" t="s">
        <v>1558</v>
      </c>
      <c r="C137" s="1" t="s">
        <v>74</v>
      </c>
      <c r="D137" s="1" t="s">
        <v>74</v>
      </c>
      <c r="E137" s="1" t="s">
        <v>74</v>
      </c>
      <c r="F137" s="1" t="s">
        <v>1559</v>
      </c>
      <c r="G137" s="1" t="s">
        <v>74</v>
      </c>
      <c r="H137" s="1" t="s">
        <v>74</v>
      </c>
      <c r="I137" s="1" t="s">
        <v>1560</v>
      </c>
      <c r="J137" s="1" t="s">
        <v>1561</v>
      </c>
      <c r="K137" s="1" t="s">
        <v>74</v>
      </c>
      <c r="L137" s="1" t="s">
        <v>74</v>
      </c>
      <c r="M137" s="1" t="s">
        <v>74</v>
      </c>
      <c r="N137" s="1" t="s">
        <v>74</v>
      </c>
      <c r="O137" s="1" t="s">
        <v>74</v>
      </c>
      <c r="P137" s="1" t="s">
        <v>74</v>
      </c>
      <c r="Q137" s="1" t="s">
        <v>74</v>
      </c>
      <c r="R137" s="1" t="s">
        <v>74</v>
      </c>
      <c r="S137" s="1" t="s">
        <v>74</v>
      </c>
      <c r="T137" s="1" t="s">
        <v>74</v>
      </c>
      <c r="U137" s="1" t="s">
        <v>74</v>
      </c>
      <c r="V137" s="1" t="s">
        <v>1562</v>
      </c>
      <c r="W137" s="1" t="s">
        <v>74</v>
      </c>
      <c r="X137" s="1" t="s">
        <v>74</v>
      </c>
      <c r="Y137" s="1" t="s">
        <v>74</v>
      </c>
      <c r="Z137" s="1" t="s">
        <v>74</v>
      </c>
      <c r="AA137" s="1" t="s">
        <v>1563</v>
      </c>
      <c r="AB137" s="1" t="s">
        <v>1564</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1565</v>
      </c>
      <c r="AP137" s="1" t="s">
        <v>74</v>
      </c>
      <c r="AQ137" s="1" t="s">
        <v>74</v>
      </c>
      <c r="AR137" s="1" t="s">
        <v>74</v>
      </c>
      <c r="AS137" s="1" t="s">
        <v>74</v>
      </c>
      <c r="AT137" s="1" t="s">
        <v>1566</v>
      </c>
      <c r="AU137" s="1">
        <v>2021.0</v>
      </c>
      <c r="AV137" s="1">
        <v>12.0</v>
      </c>
      <c r="AW137" s="1" t="s">
        <v>74</v>
      </c>
      <c r="AX137" s="1" t="s">
        <v>74</v>
      </c>
      <c r="AY137" s="1" t="s">
        <v>74</v>
      </c>
      <c r="AZ137" s="1" t="s">
        <v>74</v>
      </c>
      <c r="BA137" s="1" t="s">
        <v>74</v>
      </c>
      <c r="BB137" s="1" t="s">
        <v>74</v>
      </c>
      <c r="BC137" s="1" t="s">
        <v>74</v>
      </c>
      <c r="BD137" s="1">
        <v>737601.0</v>
      </c>
      <c r="BE137" s="1" t="s">
        <v>1567</v>
      </c>
      <c r="BF137" s="2" t="str">
        <f>HYPERLINK("http://dx.doi.org/10.3389/fimmu.2021.737601","http://dx.doi.org/10.3389/fimmu.2021.737601")</f>
        <v>http://dx.doi.org/10.3389/fimmu.2021.737601</v>
      </c>
      <c r="BG137" s="1" t="s">
        <v>74</v>
      </c>
      <c r="BH137" s="1" t="s">
        <v>74</v>
      </c>
      <c r="BI137" s="1" t="s">
        <v>74</v>
      </c>
      <c r="BJ137" s="1" t="s">
        <v>74</v>
      </c>
      <c r="BK137" s="1" t="s">
        <v>74</v>
      </c>
      <c r="BL137" s="1" t="s">
        <v>74</v>
      </c>
      <c r="BM137" s="1" t="s">
        <v>74</v>
      </c>
      <c r="BN137" s="1">
        <v>3.4867959E7</v>
      </c>
      <c r="BO137" s="1" t="s">
        <v>74</v>
      </c>
      <c r="BP137" s="1" t="s">
        <v>74</v>
      </c>
      <c r="BQ137" s="1" t="s">
        <v>74</v>
      </c>
      <c r="BR137" s="1" t="s">
        <v>74</v>
      </c>
      <c r="BS137" s="1" t="s">
        <v>1568</v>
      </c>
      <c r="BT137" s="1" t="str">
        <f>HYPERLINK("https%3A%2F%2Fwww.webofscience.com%2Fwos%2Fwoscc%2Ffull-record%2FWOS:000726078700001","View Full Record in Web of Science")</f>
        <v>View Full Record in Web of Science</v>
      </c>
    </row>
    <row r="138" ht="12.75" customHeight="1">
      <c r="A138" s="1" t="s">
        <v>72</v>
      </c>
      <c r="B138" s="1" t="s">
        <v>1569</v>
      </c>
      <c r="C138" s="1" t="s">
        <v>74</v>
      </c>
      <c r="D138" s="1" t="s">
        <v>74</v>
      </c>
      <c r="E138" s="1" t="s">
        <v>74</v>
      </c>
      <c r="F138" s="1" t="s">
        <v>1570</v>
      </c>
      <c r="G138" s="1" t="s">
        <v>74</v>
      </c>
      <c r="H138" s="1" t="s">
        <v>74</v>
      </c>
      <c r="I138" s="1" t="s">
        <v>1571</v>
      </c>
      <c r="J138" s="1" t="s">
        <v>1572</v>
      </c>
      <c r="K138" s="1" t="s">
        <v>74</v>
      </c>
      <c r="L138" s="1" t="s">
        <v>74</v>
      </c>
      <c r="M138" s="1" t="s">
        <v>74</v>
      </c>
      <c r="N138" s="1" t="s">
        <v>74</v>
      </c>
      <c r="O138" s="1" t="s">
        <v>74</v>
      </c>
      <c r="P138" s="1" t="s">
        <v>74</v>
      </c>
      <c r="Q138" s="1" t="s">
        <v>74</v>
      </c>
      <c r="R138" s="1" t="s">
        <v>74</v>
      </c>
      <c r="S138" s="1" t="s">
        <v>74</v>
      </c>
      <c r="T138" s="1" t="s">
        <v>74</v>
      </c>
      <c r="U138" s="1" t="s">
        <v>74</v>
      </c>
      <c r="V138" s="1" t="s">
        <v>1573</v>
      </c>
      <c r="W138" s="1" t="s">
        <v>74</v>
      </c>
      <c r="X138" s="1" t="s">
        <v>74</v>
      </c>
      <c r="Y138" s="1" t="s">
        <v>74</v>
      </c>
      <c r="Z138" s="1" t="s">
        <v>74</v>
      </c>
      <c r="AA138" s="1" t="s">
        <v>1574</v>
      </c>
      <c r="AB138" s="1" t="s">
        <v>1575</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1576</v>
      </c>
      <c r="AP138" s="1" t="s">
        <v>1577</v>
      </c>
      <c r="AQ138" s="1" t="s">
        <v>74</v>
      </c>
      <c r="AR138" s="1" t="s">
        <v>74</v>
      </c>
      <c r="AS138" s="1" t="s">
        <v>74</v>
      </c>
      <c r="AT138" s="1" t="s">
        <v>202</v>
      </c>
      <c r="AU138" s="1">
        <v>2019.0</v>
      </c>
      <c r="AV138" s="1">
        <v>36.0</v>
      </c>
      <c r="AW138" s="1">
        <v>6.0</v>
      </c>
      <c r="AX138" s="1" t="s">
        <v>74</v>
      </c>
      <c r="AY138" s="1" t="s">
        <v>74</v>
      </c>
      <c r="AZ138" s="1" t="s">
        <v>74</v>
      </c>
      <c r="BA138" s="1" t="s">
        <v>74</v>
      </c>
      <c r="BB138" s="1">
        <v>383.0</v>
      </c>
      <c r="BC138" s="1">
        <v>398.0</v>
      </c>
      <c r="BD138" s="1" t="s">
        <v>74</v>
      </c>
      <c r="BE138" s="1" t="s">
        <v>1578</v>
      </c>
      <c r="BF138" s="2" t="str">
        <f>HYPERLINK("http://dx.doi.org/10.1002/yea.3380","http://dx.doi.org/10.1002/yea.3380")</f>
        <v>http://dx.doi.org/10.1002/yea.3380</v>
      </c>
      <c r="BG138" s="1" t="s">
        <v>74</v>
      </c>
      <c r="BH138" s="1" t="s">
        <v>74</v>
      </c>
      <c r="BI138" s="1" t="s">
        <v>74</v>
      </c>
      <c r="BJ138" s="1" t="s">
        <v>74</v>
      </c>
      <c r="BK138" s="1" t="s">
        <v>74</v>
      </c>
      <c r="BL138" s="1" t="s">
        <v>74</v>
      </c>
      <c r="BM138" s="1" t="s">
        <v>74</v>
      </c>
      <c r="BN138" s="1">
        <v>3.0698853E7</v>
      </c>
      <c r="BO138" s="1" t="s">
        <v>74</v>
      </c>
      <c r="BP138" s="1" t="s">
        <v>74</v>
      </c>
      <c r="BQ138" s="1" t="s">
        <v>74</v>
      </c>
      <c r="BR138" s="1" t="s">
        <v>74</v>
      </c>
      <c r="BS138" s="1" t="s">
        <v>1579</v>
      </c>
      <c r="BT138" s="1" t="str">
        <f>HYPERLINK("https%3A%2F%2Fwww.webofscience.com%2Fwos%2Fwoscc%2Ffull-record%2FWOS:000472206700001","View Full Record in Web of Science")</f>
        <v>View Full Record in Web of Science</v>
      </c>
    </row>
    <row r="139" ht="12.75" customHeight="1">
      <c r="A139" s="1" t="s">
        <v>462</v>
      </c>
      <c r="B139" s="1" t="s">
        <v>1580</v>
      </c>
      <c r="C139" s="1" t="s">
        <v>74</v>
      </c>
      <c r="D139" s="1" t="s">
        <v>1581</v>
      </c>
      <c r="E139" s="1" t="s">
        <v>74</v>
      </c>
      <c r="F139" s="1" t="s">
        <v>1582</v>
      </c>
      <c r="G139" s="1" t="s">
        <v>74</v>
      </c>
      <c r="H139" s="1" t="s">
        <v>74</v>
      </c>
      <c r="I139" s="1" t="s">
        <v>1583</v>
      </c>
      <c r="J139" s="1" t="s">
        <v>1584</v>
      </c>
      <c r="K139" s="1" t="s">
        <v>1585</v>
      </c>
      <c r="L139" s="1" t="s">
        <v>74</v>
      </c>
      <c r="M139" s="1" t="s">
        <v>74</v>
      </c>
      <c r="N139" s="1" t="s">
        <v>74</v>
      </c>
      <c r="O139" s="1" t="s">
        <v>1586</v>
      </c>
      <c r="P139" s="1" t="s">
        <v>1587</v>
      </c>
      <c r="Q139" s="1" t="s">
        <v>1588</v>
      </c>
      <c r="R139" s="1" t="s">
        <v>1589</v>
      </c>
      <c r="S139" s="1" t="s">
        <v>74</v>
      </c>
      <c r="T139" s="1" t="s">
        <v>74</v>
      </c>
      <c r="U139" s="1" t="s">
        <v>74</v>
      </c>
      <c r="V139" s="1" t="s">
        <v>1590</v>
      </c>
      <c r="W139" s="1" t="s">
        <v>74</v>
      </c>
      <c r="X139" s="1" t="s">
        <v>74</v>
      </c>
      <c r="Y139" s="1" t="s">
        <v>74</v>
      </c>
      <c r="Z139" s="1" t="s">
        <v>74</v>
      </c>
      <c r="AA139" s="1" t="s">
        <v>1591</v>
      </c>
      <c r="AB139" s="1" t="s">
        <v>1592</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1593</v>
      </c>
      <c r="AP139" s="1" t="s">
        <v>1594</v>
      </c>
      <c r="AQ139" s="1" t="s">
        <v>1595</v>
      </c>
      <c r="AR139" s="1" t="s">
        <v>74</v>
      </c>
      <c r="AS139" s="1" t="s">
        <v>74</v>
      </c>
      <c r="AT139" s="1" t="s">
        <v>74</v>
      </c>
      <c r="AU139" s="1">
        <v>2017.0</v>
      </c>
      <c r="AV139" s="1">
        <v>244.0</v>
      </c>
      <c r="AW139" s="1" t="s">
        <v>74</v>
      </c>
      <c r="AX139" s="1" t="s">
        <v>74</v>
      </c>
      <c r="AY139" s="1" t="s">
        <v>74</v>
      </c>
      <c r="AZ139" s="1" t="s">
        <v>74</v>
      </c>
      <c r="BA139" s="1" t="s">
        <v>74</v>
      </c>
      <c r="BB139" s="1">
        <v>43.0</v>
      </c>
      <c r="BC139" s="1">
        <v>47.0</v>
      </c>
      <c r="BD139" s="1" t="s">
        <v>74</v>
      </c>
      <c r="BE139" s="1" t="s">
        <v>1596</v>
      </c>
      <c r="BF139" s="2" t="str">
        <f>HYPERLINK("http://dx.doi.org/10.3233/978-1-61499-824-2-43","http://dx.doi.org/10.3233/978-1-61499-824-2-43")</f>
        <v>http://dx.doi.org/10.3233/978-1-61499-824-2-43</v>
      </c>
      <c r="BG139" s="1" t="s">
        <v>74</v>
      </c>
      <c r="BH139" s="1" t="s">
        <v>74</v>
      </c>
      <c r="BI139" s="1" t="s">
        <v>74</v>
      </c>
      <c r="BJ139" s="1" t="s">
        <v>74</v>
      </c>
      <c r="BK139" s="1" t="s">
        <v>74</v>
      </c>
      <c r="BL139" s="1" t="s">
        <v>74</v>
      </c>
      <c r="BM139" s="1" t="s">
        <v>74</v>
      </c>
      <c r="BN139" s="1">
        <v>2.9039374E7</v>
      </c>
      <c r="BO139" s="1" t="s">
        <v>74</v>
      </c>
      <c r="BP139" s="1" t="s">
        <v>74</v>
      </c>
      <c r="BQ139" s="1" t="s">
        <v>74</v>
      </c>
      <c r="BR139" s="1" t="s">
        <v>74</v>
      </c>
      <c r="BS139" s="1" t="s">
        <v>1597</v>
      </c>
      <c r="BT139" s="1" t="str">
        <f>HYPERLINK("https%3A%2F%2Fwww.webofscience.com%2Fwos%2Fwoscc%2Ffull-record%2FWOS:000450270500009","View Full Record in Web of Science")</f>
        <v>View Full Record in Web of Science</v>
      </c>
    </row>
    <row r="140" ht="12.75" customHeight="1">
      <c r="A140" s="1" t="s">
        <v>72</v>
      </c>
      <c r="B140" s="1" t="s">
        <v>1598</v>
      </c>
      <c r="C140" s="1" t="s">
        <v>74</v>
      </c>
      <c r="D140" s="1" t="s">
        <v>74</v>
      </c>
      <c r="E140" s="1" t="s">
        <v>74</v>
      </c>
      <c r="F140" s="1" t="s">
        <v>1599</v>
      </c>
      <c r="G140" s="1" t="s">
        <v>74</v>
      </c>
      <c r="H140" s="1" t="s">
        <v>74</v>
      </c>
      <c r="I140" s="1" t="s">
        <v>1600</v>
      </c>
      <c r="J140" s="1" t="s">
        <v>562</v>
      </c>
      <c r="K140" s="1" t="s">
        <v>74</v>
      </c>
      <c r="L140" s="1" t="s">
        <v>74</v>
      </c>
      <c r="M140" s="1" t="s">
        <v>74</v>
      </c>
      <c r="N140" s="1" t="s">
        <v>74</v>
      </c>
      <c r="O140" s="1" t="s">
        <v>74</v>
      </c>
      <c r="P140" s="1" t="s">
        <v>74</v>
      </c>
      <c r="Q140" s="1" t="s">
        <v>74</v>
      </c>
      <c r="R140" s="1" t="s">
        <v>74</v>
      </c>
      <c r="S140" s="1" t="s">
        <v>74</v>
      </c>
      <c r="T140" s="1" t="s">
        <v>74</v>
      </c>
      <c r="U140" s="1" t="s">
        <v>74</v>
      </c>
      <c r="V140" s="1" t="s">
        <v>1601</v>
      </c>
      <c r="W140" s="1" t="s">
        <v>74</v>
      </c>
      <c r="X140" s="1" t="s">
        <v>74</v>
      </c>
      <c r="Y140" s="1" t="s">
        <v>74</v>
      </c>
      <c r="Z140" s="1" t="s">
        <v>74</v>
      </c>
      <c r="AA140" s="1" t="s">
        <v>1602</v>
      </c>
      <c r="AB140" s="1" t="s">
        <v>74</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566</v>
      </c>
      <c r="AP140" s="1" t="s">
        <v>567</v>
      </c>
      <c r="AQ140" s="1" t="s">
        <v>74</v>
      </c>
      <c r="AR140" s="1" t="s">
        <v>74</v>
      </c>
      <c r="AS140" s="1" t="s">
        <v>74</v>
      </c>
      <c r="AT140" s="1" t="s">
        <v>1603</v>
      </c>
      <c r="AU140" s="1">
        <v>2025.0</v>
      </c>
      <c r="AV140" s="1">
        <v>25.0</v>
      </c>
      <c r="AW140" s="1">
        <v>2.0</v>
      </c>
      <c r="AX140" s="1" t="s">
        <v>74</v>
      </c>
      <c r="AY140" s="1" t="s">
        <v>74</v>
      </c>
      <c r="AZ140" s="1" t="s">
        <v>74</v>
      </c>
      <c r="BA140" s="1" t="s">
        <v>74</v>
      </c>
      <c r="BB140" s="1">
        <v>819.0</v>
      </c>
      <c r="BC140" s="1">
        <v>841.0</v>
      </c>
      <c r="BD140" s="1" t="s">
        <v>74</v>
      </c>
      <c r="BE140" s="1" t="s">
        <v>1604</v>
      </c>
      <c r="BF140" s="2" t="str">
        <f>HYPERLINK("http://dx.doi.org/10.5194/acp-25-819-2025","http://dx.doi.org/10.5194/acp-25-819-2025")</f>
        <v>http://dx.doi.org/10.5194/acp-25-819-2025</v>
      </c>
      <c r="BG140" s="1" t="s">
        <v>74</v>
      </c>
      <c r="BH140" s="1" t="s">
        <v>74</v>
      </c>
      <c r="BI140" s="1" t="s">
        <v>74</v>
      </c>
      <c r="BJ140" s="1" t="s">
        <v>74</v>
      </c>
      <c r="BK140" s="1" t="s">
        <v>74</v>
      </c>
      <c r="BL140" s="1" t="s">
        <v>74</v>
      </c>
      <c r="BM140" s="1" t="s">
        <v>74</v>
      </c>
      <c r="BN140" s="1" t="s">
        <v>74</v>
      </c>
      <c r="BO140" s="1" t="s">
        <v>74</v>
      </c>
      <c r="BP140" s="1" t="s">
        <v>74</v>
      </c>
      <c r="BQ140" s="1" t="s">
        <v>74</v>
      </c>
      <c r="BR140" s="1" t="s">
        <v>74</v>
      </c>
      <c r="BS140" s="1" t="s">
        <v>1605</v>
      </c>
      <c r="BT140" s="1" t="str">
        <f>HYPERLINK("https%3A%2F%2Fwww.webofscience.com%2Fwos%2Fwoscc%2Ffull-record%2FWOS:001409729100001","View Full Record in Web of Science")</f>
        <v>View Full Record in Web of Science</v>
      </c>
    </row>
    <row r="141" ht="12.75" customHeight="1">
      <c r="A141" s="1" t="s">
        <v>72</v>
      </c>
      <c r="B141" s="1" t="s">
        <v>1606</v>
      </c>
      <c r="C141" s="1" t="s">
        <v>74</v>
      </c>
      <c r="D141" s="1" t="s">
        <v>74</v>
      </c>
      <c r="E141" s="1" t="s">
        <v>74</v>
      </c>
      <c r="F141" s="1" t="s">
        <v>1607</v>
      </c>
      <c r="G141" s="1" t="s">
        <v>74</v>
      </c>
      <c r="H141" s="1" t="s">
        <v>74</v>
      </c>
      <c r="I141" s="1" t="s">
        <v>1608</v>
      </c>
      <c r="J141" s="1" t="s">
        <v>1609</v>
      </c>
      <c r="K141" s="1" t="s">
        <v>74</v>
      </c>
      <c r="L141" s="1" t="s">
        <v>74</v>
      </c>
      <c r="M141" s="1" t="s">
        <v>74</v>
      </c>
      <c r="N141" s="1" t="s">
        <v>74</v>
      </c>
      <c r="O141" s="1" t="s">
        <v>74</v>
      </c>
      <c r="P141" s="1" t="s">
        <v>74</v>
      </c>
      <c r="Q141" s="1" t="s">
        <v>74</v>
      </c>
      <c r="R141" s="1" t="s">
        <v>74</v>
      </c>
      <c r="S141" s="1" t="s">
        <v>74</v>
      </c>
      <c r="T141" s="1" t="s">
        <v>74</v>
      </c>
      <c r="U141" s="1" t="s">
        <v>74</v>
      </c>
      <c r="V141" s="1" t="s">
        <v>1610</v>
      </c>
      <c r="W141" s="1" t="s">
        <v>74</v>
      </c>
      <c r="X141" s="1" t="s">
        <v>74</v>
      </c>
      <c r="Y141" s="1" t="s">
        <v>74</v>
      </c>
      <c r="Z141" s="1" t="s">
        <v>74</v>
      </c>
      <c r="AA141" s="1" t="s">
        <v>1611</v>
      </c>
      <c r="AB141" s="1" t="s">
        <v>1612</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1613</v>
      </c>
      <c r="AP141" s="1" t="s">
        <v>1614</v>
      </c>
      <c r="AQ141" s="1" t="s">
        <v>74</v>
      </c>
      <c r="AR141" s="1" t="s">
        <v>74</v>
      </c>
      <c r="AS141" s="1" t="s">
        <v>74</v>
      </c>
      <c r="AT141" s="1" t="s">
        <v>531</v>
      </c>
      <c r="AU141" s="1">
        <v>2023.0</v>
      </c>
      <c r="AV141" s="1">
        <v>26.0</v>
      </c>
      <c r="AW141" s="1" t="s">
        <v>74</v>
      </c>
      <c r="AX141" s="1" t="s">
        <v>74</v>
      </c>
      <c r="AY141" s="1" t="s">
        <v>74</v>
      </c>
      <c r="AZ141" s="1" t="s">
        <v>74</v>
      </c>
      <c r="BA141" s="1" t="s">
        <v>74</v>
      </c>
      <c r="BB141" s="1">
        <v>5028.0</v>
      </c>
      <c r="BC141" s="1">
        <v>5036.0</v>
      </c>
      <c r="BD141" s="1" t="s">
        <v>74</v>
      </c>
      <c r="BE141" s="1" t="s">
        <v>1615</v>
      </c>
      <c r="BF141" s="2" t="str">
        <f>HYPERLINK("http://dx.doi.org/10.1016/j.jmrt.2023.08.255","http://dx.doi.org/10.1016/j.jmrt.2023.08.255")</f>
        <v>http://dx.doi.org/10.1016/j.jmrt.2023.08.255</v>
      </c>
      <c r="BG141" s="1" t="s">
        <v>74</v>
      </c>
      <c r="BH141" s="1" t="s">
        <v>314</v>
      </c>
      <c r="BI141" s="1" t="s">
        <v>74</v>
      </c>
      <c r="BJ141" s="1" t="s">
        <v>74</v>
      </c>
      <c r="BK141" s="1" t="s">
        <v>74</v>
      </c>
      <c r="BL141" s="1" t="s">
        <v>74</v>
      </c>
      <c r="BM141" s="1" t="s">
        <v>74</v>
      </c>
      <c r="BN141" s="1" t="s">
        <v>74</v>
      </c>
      <c r="BO141" s="1" t="s">
        <v>74</v>
      </c>
      <c r="BP141" s="1" t="s">
        <v>74</v>
      </c>
      <c r="BQ141" s="1" t="s">
        <v>74</v>
      </c>
      <c r="BR141" s="1" t="s">
        <v>74</v>
      </c>
      <c r="BS141" s="1" t="s">
        <v>1616</v>
      </c>
      <c r="BT141" s="1" t="str">
        <f>HYPERLINK("https%3A%2F%2Fwww.webofscience.com%2Fwos%2Fwoscc%2Ffull-record%2FWOS:001074003700001","View Full Record in Web of Science")</f>
        <v>View Full Record in Web of Science</v>
      </c>
    </row>
    <row r="142" ht="12.75" customHeight="1">
      <c r="A142" s="1" t="s">
        <v>72</v>
      </c>
      <c r="B142" s="1" t="s">
        <v>1617</v>
      </c>
      <c r="C142" s="1" t="s">
        <v>74</v>
      </c>
      <c r="D142" s="1" t="s">
        <v>74</v>
      </c>
      <c r="E142" s="1" t="s">
        <v>74</v>
      </c>
      <c r="F142" s="1" t="s">
        <v>1618</v>
      </c>
      <c r="G142" s="1" t="s">
        <v>74</v>
      </c>
      <c r="H142" s="1" t="s">
        <v>74</v>
      </c>
      <c r="I142" s="1" t="s">
        <v>1619</v>
      </c>
      <c r="J142" s="1" t="s">
        <v>717</v>
      </c>
      <c r="K142" s="1" t="s">
        <v>74</v>
      </c>
      <c r="L142" s="1" t="s">
        <v>74</v>
      </c>
      <c r="M142" s="1" t="s">
        <v>74</v>
      </c>
      <c r="N142" s="1" t="s">
        <v>74</v>
      </c>
      <c r="O142" s="1" t="s">
        <v>74</v>
      </c>
      <c r="P142" s="1" t="s">
        <v>74</v>
      </c>
      <c r="Q142" s="1" t="s">
        <v>74</v>
      </c>
      <c r="R142" s="1" t="s">
        <v>74</v>
      </c>
      <c r="S142" s="1" t="s">
        <v>74</v>
      </c>
      <c r="T142" s="1" t="s">
        <v>74</v>
      </c>
      <c r="U142" s="1" t="s">
        <v>74</v>
      </c>
      <c r="V142" s="1" t="s">
        <v>1620</v>
      </c>
      <c r="W142" s="1" t="s">
        <v>74</v>
      </c>
      <c r="X142" s="1" t="s">
        <v>74</v>
      </c>
      <c r="Y142" s="1" t="s">
        <v>74</v>
      </c>
      <c r="Z142" s="1" t="s">
        <v>74</v>
      </c>
      <c r="AA142" s="1" t="s">
        <v>1621</v>
      </c>
      <c r="AB142" s="1" t="s">
        <v>1622</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721</v>
      </c>
      <c r="AP142" s="1" t="s">
        <v>722</v>
      </c>
      <c r="AQ142" s="1" t="s">
        <v>74</v>
      </c>
      <c r="AR142" s="1" t="s">
        <v>74</v>
      </c>
      <c r="AS142" s="1" t="s">
        <v>74</v>
      </c>
      <c r="AT142" s="1" t="s">
        <v>1623</v>
      </c>
      <c r="AU142" s="1">
        <v>2022.0</v>
      </c>
      <c r="AV142" s="1">
        <v>835.0</v>
      </c>
      <c r="AW142" s="1" t="s">
        <v>74</v>
      </c>
      <c r="AX142" s="1" t="s">
        <v>74</v>
      </c>
      <c r="AY142" s="1" t="s">
        <v>74</v>
      </c>
      <c r="AZ142" s="1" t="s">
        <v>74</v>
      </c>
      <c r="BA142" s="1" t="s">
        <v>74</v>
      </c>
      <c r="BB142" s="1" t="s">
        <v>74</v>
      </c>
      <c r="BC142" s="1" t="s">
        <v>74</v>
      </c>
      <c r="BD142" s="1">
        <v>155502.0</v>
      </c>
      <c r="BE142" s="1" t="s">
        <v>1624</v>
      </c>
      <c r="BF142" s="2" t="str">
        <f>HYPERLINK("http://dx.doi.org/10.1016/j.scitotenv.2022.155502","http://dx.doi.org/10.1016/j.scitotenv.2022.155502")</f>
        <v>http://dx.doi.org/10.1016/j.scitotenv.2022.155502</v>
      </c>
      <c r="BG142" s="1" t="s">
        <v>74</v>
      </c>
      <c r="BH142" s="1" t="s">
        <v>1625</v>
      </c>
      <c r="BI142" s="1" t="s">
        <v>74</v>
      </c>
      <c r="BJ142" s="1" t="s">
        <v>74</v>
      </c>
      <c r="BK142" s="1" t="s">
        <v>74</v>
      </c>
      <c r="BL142" s="1" t="s">
        <v>74</v>
      </c>
      <c r="BM142" s="1" t="s">
        <v>74</v>
      </c>
      <c r="BN142" s="1">
        <v>3.5490807E7</v>
      </c>
      <c r="BO142" s="1" t="s">
        <v>74</v>
      </c>
      <c r="BP142" s="1" t="s">
        <v>74</v>
      </c>
      <c r="BQ142" s="1" t="s">
        <v>74</v>
      </c>
      <c r="BR142" s="1" t="s">
        <v>74</v>
      </c>
      <c r="BS142" s="1" t="s">
        <v>1626</v>
      </c>
      <c r="BT142" s="1" t="str">
        <f>HYPERLINK("https%3A%2F%2Fwww.webofscience.com%2Fwos%2Fwoscc%2Ffull-record%2FWOS:000806762000013","View Full Record in Web of Science")</f>
        <v>View Full Record in Web of Science</v>
      </c>
    </row>
    <row r="143" ht="12.75" customHeight="1">
      <c r="A143" s="1" t="s">
        <v>72</v>
      </c>
      <c r="B143" s="1" t="s">
        <v>1627</v>
      </c>
      <c r="C143" s="1" t="s">
        <v>74</v>
      </c>
      <c r="D143" s="1" t="s">
        <v>74</v>
      </c>
      <c r="E143" s="1" t="s">
        <v>74</v>
      </c>
      <c r="F143" s="1" t="s">
        <v>1628</v>
      </c>
      <c r="G143" s="1" t="s">
        <v>74</v>
      </c>
      <c r="H143" s="1" t="s">
        <v>74</v>
      </c>
      <c r="I143" s="1" t="s">
        <v>1629</v>
      </c>
      <c r="J143" s="1" t="s">
        <v>101</v>
      </c>
      <c r="K143" s="1" t="s">
        <v>74</v>
      </c>
      <c r="L143" s="1" t="s">
        <v>74</v>
      </c>
      <c r="M143" s="1" t="s">
        <v>74</v>
      </c>
      <c r="N143" s="1" t="s">
        <v>74</v>
      </c>
      <c r="O143" s="1" t="s">
        <v>74</v>
      </c>
      <c r="P143" s="1" t="s">
        <v>74</v>
      </c>
      <c r="Q143" s="1" t="s">
        <v>74</v>
      </c>
      <c r="R143" s="1" t="s">
        <v>74</v>
      </c>
      <c r="S143" s="1" t="s">
        <v>74</v>
      </c>
      <c r="T143" s="1" t="s">
        <v>74</v>
      </c>
      <c r="U143" s="1" t="s">
        <v>74</v>
      </c>
      <c r="V143" s="1" t="s">
        <v>1630</v>
      </c>
      <c r="W143" s="1" t="s">
        <v>74</v>
      </c>
      <c r="X143" s="1" t="s">
        <v>74</v>
      </c>
      <c r="Y143" s="1" t="s">
        <v>74</v>
      </c>
      <c r="Z143" s="1" t="s">
        <v>74</v>
      </c>
      <c r="AA143" s="1" t="s">
        <v>1631</v>
      </c>
      <c r="AB143" s="1" t="s">
        <v>1632</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74</v>
      </c>
      <c r="AP143" s="1" t="s">
        <v>105</v>
      </c>
      <c r="AQ143" s="1" t="s">
        <v>74</v>
      </c>
      <c r="AR143" s="1" t="s">
        <v>74</v>
      </c>
      <c r="AS143" s="1" t="s">
        <v>74</v>
      </c>
      <c r="AT143" s="1" t="s">
        <v>334</v>
      </c>
      <c r="AU143" s="1">
        <v>2020.0</v>
      </c>
      <c r="AV143" s="1">
        <v>25.0</v>
      </c>
      <c r="AW143" s="1">
        <v>20.0</v>
      </c>
      <c r="AX143" s="1" t="s">
        <v>74</v>
      </c>
      <c r="AY143" s="1" t="s">
        <v>74</v>
      </c>
      <c r="AZ143" s="1" t="s">
        <v>74</v>
      </c>
      <c r="BA143" s="1" t="s">
        <v>74</v>
      </c>
      <c r="BB143" s="1" t="s">
        <v>74</v>
      </c>
      <c r="BC143" s="1" t="s">
        <v>74</v>
      </c>
      <c r="BD143" s="1">
        <v>4614.0</v>
      </c>
      <c r="BE143" s="1" t="s">
        <v>1633</v>
      </c>
      <c r="BF143" s="2" t="str">
        <f>HYPERLINK("http://dx.doi.org/10.3390/molecules25204614","http://dx.doi.org/10.3390/molecules25204614")</f>
        <v>http://dx.doi.org/10.3390/molecules25204614</v>
      </c>
      <c r="BG143" s="1" t="s">
        <v>74</v>
      </c>
      <c r="BH143" s="1" t="s">
        <v>74</v>
      </c>
      <c r="BI143" s="1" t="s">
        <v>74</v>
      </c>
      <c r="BJ143" s="1" t="s">
        <v>74</v>
      </c>
      <c r="BK143" s="1" t="s">
        <v>74</v>
      </c>
      <c r="BL143" s="1" t="s">
        <v>74</v>
      </c>
      <c r="BM143" s="1" t="s">
        <v>74</v>
      </c>
      <c r="BN143" s="1">
        <v>3.3050524E7</v>
      </c>
      <c r="BO143" s="1" t="s">
        <v>74</v>
      </c>
      <c r="BP143" s="1" t="s">
        <v>74</v>
      </c>
      <c r="BQ143" s="1" t="s">
        <v>74</v>
      </c>
      <c r="BR143" s="1" t="s">
        <v>74</v>
      </c>
      <c r="BS143" s="1" t="s">
        <v>1634</v>
      </c>
      <c r="BT143" s="1" t="str">
        <f>HYPERLINK("https%3A%2F%2Fwww.webofscience.com%2Fwos%2Fwoscc%2Ffull-record%2FWOS:000585546700001","View Full Record in Web of Science")</f>
        <v>View Full Record in Web of Science</v>
      </c>
    </row>
    <row r="144" ht="12.75" customHeight="1">
      <c r="A144" s="1" t="s">
        <v>72</v>
      </c>
      <c r="B144" s="1" t="s">
        <v>1635</v>
      </c>
      <c r="C144" s="1" t="s">
        <v>74</v>
      </c>
      <c r="D144" s="1" t="s">
        <v>74</v>
      </c>
      <c r="E144" s="1" t="s">
        <v>74</v>
      </c>
      <c r="F144" s="1" t="s">
        <v>1636</v>
      </c>
      <c r="G144" s="1" t="s">
        <v>74</v>
      </c>
      <c r="H144" s="1" t="s">
        <v>74</v>
      </c>
      <c r="I144" s="1" t="s">
        <v>1637</v>
      </c>
      <c r="J144" s="1" t="s">
        <v>1638</v>
      </c>
      <c r="K144" s="1" t="s">
        <v>74</v>
      </c>
      <c r="L144" s="1" t="s">
        <v>74</v>
      </c>
      <c r="M144" s="1" t="s">
        <v>74</v>
      </c>
      <c r="N144" s="1" t="s">
        <v>74</v>
      </c>
      <c r="O144" s="1" t="s">
        <v>74</v>
      </c>
      <c r="P144" s="1" t="s">
        <v>74</v>
      </c>
      <c r="Q144" s="1" t="s">
        <v>74</v>
      </c>
      <c r="R144" s="1" t="s">
        <v>74</v>
      </c>
      <c r="S144" s="1" t="s">
        <v>74</v>
      </c>
      <c r="T144" s="1" t="s">
        <v>74</v>
      </c>
      <c r="U144" s="1" t="s">
        <v>74</v>
      </c>
      <c r="V144" s="1" t="s">
        <v>1639</v>
      </c>
      <c r="W144" s="1" t="s">
        <v>74</v>
      </c>
      <c r="X144" s="1" t="s">
        <v>74</v>
      </c>
      <c r="Y144" s="1" t="s">
        <v>74</v>
      </c>
      <c r="Z144" s="1" t="s">
        <v>74</v>
      </c>
      <c r="AA144" s="1" t="s">
        <v>1640</v>
      </c>
      <c r="AB144" s="1" t="s">
        <v>1641</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74</v>
      </c>
      <c r="AP144" s="1" t="s">
        <v>1642</v>
      </c>
      <c r="AQ144" s="1" t="s">
        <v>74</v>
      </c>
      <c r="AR144" s="1" t="s">
        <v>74</v>
      </c>
      <c r="AS144" s="1" t="s">
        <v>74</v>
      </c>
      <c r="AT144" s="1" t="s">
        <v>106</v>
      </c>
      <c r="AU144" s="1">
        <v>2019.0</v>
      </c>
      <c r="AV144" s="1">
        <v>9.0</v>
      </c>
      <c r="AW144" s="1">
        <v>11.0</v>
      </c>
      <c r="AX144" s="1" t="s">
        <v>74</v>
      </c>
      <c r="AY144" s="1" t="s">
        <v>74</v>
      </c>
      <c r="AZ144" s="1" t="s">
        <v>74</v>
      </c>
      <c r="BA144" s="1" t="s">
        <v>74</v>
      </c>
      <c r="BB144" s="1" t="s">
        <v>74</v>
      </c>
      <c r="BC144" s="1" t="s">
        <v>74</v>
      </c>
      <c r="BD144" s="1">
        <v>1611.0</v>
      </c>
      <c r="BE144" s="1" t="s">
        <v>1643</v>
      </c>
      <c r="BF144" s="2" t="str">
        <f>HYPERLINK("http://dx.doi.org/10.3390/nano9111611","http://dx.doi.org/10.3390/nano9111611")</f>
        <v>http://dx.doi.org/10.3390/nano9111611</v>
      </c>
      <c r="BG144" s="1" t="s">
        <v>74</v>
      </c>
      <c r="BH144" s="1" t="s">
        <v>74</v>
      </c>
      <c r="BI144" s="1" t="s">
        <v>74</v>
      </c>
      <c r="BJ144" s="1" t="s">
        <v>74</v>
      </c>
      <c r="BK144" s="1" t="s">
        <v>74</v>
      </c>
      <c r="BL144" s="1" t="s">
        <v>74</v>
      </c>
      <c r="BM144" s="1" t="s">
        <v>74</v>
      </c>
      <c r="BN144" s="1">
        <v>3.1766234E7</v>
      </c>
      <c r="BO144" s="1" t="s">
        <v>74</v>
      </c>
      <c r="BP144" s="1" t="s">
        <v>74</v>
      </c>
      <c r="BQ144" s="1" t="s">
        <v>74</v>
      </c>
      <c r="BR144" s="1" t="s">
        <v>74</v>
      </c>
      <c r="BS144" s="1" t="s">
        <v>1644</v>
      </c>
      <c r="BT144" s="1" t="str">
        <f>HYPERLINK("https%3A%2F%2Fwww.webofscience.com%2Fwos%2Fwoscc%2Ffull-record%2FWOS:000502271700106","View Full Record in Web of Science")</f>
        <v>View Full Record in Web of Science</v>
      </c>
    </row>
    <row r="145" ht="12.75" customHeight="1">
      <c r="A145" s="1" t="s">
        <v>72</v>
      </c>
      <c r="B145" s="1" t="s">
        <v>1645</v>
      </c>
      <c r="C145" s="1" t="s">
        <v>74</v>
      </c>
      <c r="D145" s="1" t="s">
        <v>74</v>
      </c>
      <c r="E145" s="1" t="s">
        <v>74</v>
      </c>
      <c r="F145" s="1" t="s">
        <v>1646</v>
      </c>
      <c r="G145" s="1" t="s">
        <v>74</v>
      </c>
      <c r="H145" s="1" t="s">
        <v>74</v>
      </c>
      <c r="I145" s="1" t="s">
        <v>1647</v>
      </c>
      <c r="J145" s="1" t="s">
        <v>1648</v>
      </c>
      <c r="K145" s="1" t="s">
        <v>74</v>
      </c>
      <c r="L145" s="1" t="s">
        <v>74</v>
      </c>
      <c r="M145" s="1" t="s">
        <v>74</v>
      </c>
      <c r="N145" s="1" t="s">
        <v>74</v>
      </c>
      <c r="O145" s="1" t="s">
        <v>74</v>
      </c>
      <c r="P145" s="1" t="s">
        <v>74</v>
      </c>
      <c r="Q145" s="1" t="s">
        <v>74</v>
      </c>
      <c r="R145" s="1" t="s">
        <v>74</v>
      </c>
      <c r="S145" s="1" t="s">
        <v>74</v>
      </c>
      <c r="T145" s="1" t="s">
        <v>74</v>
      </c>
      <c r="U145" s="1" t="s">
        <v>74</v>
      </c>
      <c r="V145" s="1" t="s">
        <v>1649</v>
      </c>
      <c r="W145" s="1" t="s">
        <v>74</v>
      </c>
      <c r="X145" s="1" t="s">
        <v>74</v>
      </c>
      <c r="Y145" s="1" t="s">
        <v>74</v>
      </c>
      <c r="Z145" s="1" t="s">
        <v>74</v>
      </c>
      <c r="AA145" s="1" t="s">
        <v>1650</v>
      </c>
      <c r="AB145" s="1" t="s">
        <v>1651</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1652</v>
      </c>
      <c r="AP145" s="1" t="s">
        <v>1653</v>
      </c>
      <c r="AQ145" s="1" t="s">
        <v>74</v>
      </c>
      <c r="AR145" s="1" t="s">
        <v>74</v>
      </c>
      <c r="AS145" s="1" t="s">
        <v>74</v>
      </c>
      <c r="AT145" s="1" t="s">
        <v>1654</v>
      </c>
      <c r="AU145" s="1">
        <v>2018.0</v>
      </c>
      <c r="AV145" s="1">
        <v>29.0</v>
      </c>
      <c r="AW145" s="1">
        <v>6.0</v>
      </c>
      <c r="AX145" s="1" t="s">
        <v>74</v>
      </c>
      <c r="AY145" s="1" t="s">
        <v>74</v>
      </c>
      <c r="AZ145" s="1" t="s">
        <v>74</v>
      </c>
      <c r="BA145" s="1" t="s">
        <v>74</v>
      </c>
      <c r="BB145" s="1" t="s">
        <v>74</v>
      </c>
      <c r="BC145" s="1" t="s">
        <v>74</v>
      </c>
      <c r="BD145" s="1">
        <v>65602.0</v>
      </c>
      <c r="BE145" s="1" t="s">
        <v>1655</v>
      </c>
      <c r="BF145" s="2" t="str">
        <f>HYPERLINK("http://dx.doi.org/10.1088/1361-6528/aaa095","http://dx.doi.org/10.1088/1361-6528/aaa095")</f>
        <v>http://dx.doi.org/10.1088/1361-6528/aaa095</v>
      </c>
      <c r="BG145" s="1" t="s">
        <v>74</v>
      </c>
      <c r="BH145" s="1" t="s">
        <v>74</v>
      </c>
      <c r="BI145" s="1" t="s">
        <v>74</v>
      </c>
      <c r="BJ145" s="1" t="s">
        <v>74</v>
      </c>
      <c r="BK145" s="1" t="s">
        <v>74</v>
      </c>
      <c r="BL145" s="1" t="s">
        <v>74</v>
      </c>
      <c r="BM145" s="1" t="s">
        <v>74</v>
      </c>
      <c r="BN145" s="1">
        <v>2.9226847E7</v>
      </c>
      <c r="BO145" s="1" t="s">
        <v>74</v>
      </c>
      <c r="BP145" s="1" t="s">
        <v>74</v>
      </c>
      <c r="BQ145" s="1" t="s">
        <v>74</v>
      </c>
      <c r="BR145" s="1" t="s">
        <v>74</v>
      </c>
      <c r="BS145" s="1" t="s">
        <v>1656</v>
      </c>
      <c r="BT145" s="1" t="str">
        <f>HYPERLINK("https%3A%2F%2Fwww.webofscience.com%2Fwos%2Fwoscc%2Ffull-record%2FWOS:000419631700002","View Full Record in Web of Science")</f>
        <v>View Full Record in Web of Science</v>
      </c>
    </row>
    <row r="146" ht="12.75" customHeight="1">
      <c r="A146" s="1" t="s">
        <v>72</v>
      </c>
      <c r="B146" s="1" t="s">
        <v>1657</v>
      </c>
      <c r="C146" s="1" t="s">
        <v>74</v>
      </c>
      <c r="D146" s="1" t="s">
        <v>74</v>
      </c>
      <c r="E146" s="1" t="s">
        <v>74</v>
      </c>
      <c r="F146" s="1" t="s">
        <v>1658</v>
      </c>
      <c r="G146" s="1" t="s">
        <v>74</v>
      </c>
      <c r="H146" s="1" t="s">
        <v>74</v>
      </c>
      <c r="I146" s="1" t="s">
        <v>1659</v>
      </c>
      <c r="J146" s="1" t="s">
        <v>1660</v>
      </c>
      <c r="K146" s="1" t="s">
        <v>74</v>
      </c>
      <c r="L146" s="1" t="s">
        <v>74</v>
      </c>
      <c r="M146" s="1" t="s">
        <v>74</v>
      </c>
      <c r="N146" s="1" t="s">
        <v>74</v>
      </c>
      <c r="O146" s="1" t="s">
        <v>74</v>
      </c>
      <c r="P146" s="1" t="s">
        <v>74</v>
      </c>
      <c r="Q146" s="1" t="s">
        <v>74</v>
      </c>
      <c r="R146" s="1" t="s">
        <v>74</v>
      </c>
      <c r="S146" s="1" t="s">
        <v>74</v>
      </c>
      <c r="T146" s="1" t="s">
        <v>74</v>
      </c>
      <c r="U146" s="1" t="s">
        <v>74</v>
      </c>
      <c r="V146" s="1" t="s">
        <v>1661</v>
      </c>
      <c r="W146" s="1" t="s">
        <v>74</v>
      </c>
      <c r="X146" s="1" t="s">
        <v>74</v>
      </c>
      <c r="Y146" s="1" t="s">
        <v>74</v>
      </c>
      <c r="Z146" s="1" t="s">
        <v>74</v>
      </c>
      <c r="AA146" s="1" t="s">
        <v>1662</v>
      </c>
      <c r="AB146" s="1" t="s">
        <v>1663</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1664</v>
      </c>
      <c r="AP146" s="1" t="s">
        <v>1665</v>
      </c>
      <c r="AQ146" s="1" t="s">
        <v>74</v>
      </c>
      <c r="AR146" s="1" t="s">
        <v>74</v>
      </c>
      <c r="AS146" s="1" t="s">
        <v>74</v>
      </c>
      <c r="AT146" s="1" t="s">
        <v>346</v>
      </c>
      <c r="AU146" s="1">
        <v>2013.0</v>
      </c>
      <c r="AV146" s="1">
        <v>84.0</v>
      </c>
      <c r="AW146" s="1">
        <v>1.0</v>
      </c>
      <c r="AX146" s="1" t="s">
        <v>74</v>
      </c>
      <c r="AY146" s="1" t="s">
        <v>74</v>
      </c>
      <c r="AZ146" s="1" t="s">
        <v>74</v>
      </c>
      <c r="BA146" s="1" t="s">
        <v>74</v>
      </c>
      <c r="BB146" s="1">
        <v>13.0</v>
      </c>
      <c r="BC146" s="1">
        <v>22.0</v>
      </c>
      <c r="BD146" s="1" t="s">
        <v>74</v>
      </c>
      <c r="BE146" s="1" t="s">
        <v>1666</v>
      </c>
      <c r="BF146" s="2" t="str">
        <f>HYPERLINK("http://dx.doi.org/10.1111/jofo.12001","http://dx.doi.org/10.1111/jofo.12001")</f>
        <v>http://dx.doi.org/10.1111/jofo.12001</v>
      </c>
      <c r="BG146" s="1" t="s">
        <v>74</v>
      </c>
      <c r="BH146" s="1" t="s">
        <v>74</v>
      </c>
      <c r="BI146" s="1" t="s">
        <v>74</v>
      </c>
      <c r="BJ146" s="1" t="s">
        <v>74</v>
      </c>
      <c r="BK146" s="1" t="s">
        <v>74</v>
      </c>
      <c r="BL146" s="1" t="s">
        <v>74</v>
      </c>
      <c r="BM146" s="1" t="s">
        <v>74</v>
      </c>
      <c r="BN146" s="1" t="s">
        <v>74</v>
      </c>
      <c r="BO146" s="1" t="s">
        <v>74</v>
      </c>
      <c r="BP146" s="1" t="s">
        <v>74</v>
      </c>
      <c r="BQ146" s="1" t="s">
        <v>74</v>
      </c>
      <c r="BR146" s="1" t="s">
        <v>74</v>
      </c>
      <c r="BS146" s="1" t="s">
        <v>1667</v>
      </c>
      <c r="BT146" s="1" t="str">
        <f>HYPERLINK("https%3A%2F%2Fwww.webofscience.com%2Fwos%2Fwoscc%2Ffull-record%2FWOS:000315329000002","View Full Record in Web of Science")</f>
        <v>View Full Record in Web of Science</v>
      </c>
    </row>
    <row r="147" ht="12.75" customHeight="1">
      <c r="A147" s="1" t="s">
        <v>72</v>
      </c>
      <c r="B147" s="1" t="s">
        <v>1668</v>
      </c>
      <c r="C147" s="1" t="s">
        <v>74</v>
      </c>
      <c r="D147" s="1" t="s">
        <v>74</v>
      </c>
      <c r="E147" s="1" t="s">
        <v>74</v>
      </c>
      <c r="F147" s="1" t="s">
        <v>1668</v>
      </c>
      <c r="G147" s="1" t="s">
        <v>74</v>
      </c>
      <c r="H147" s="1" t="s">
        <v>74</v>
      </c>
      <c r="I147" s="1" t="s">
        <v>1669</v>
      </c>
      <c r="J147" s="1" t="s">
        <v>1670</v>
      </c>
      <c r="K147" s="1" t="s">
        <v>74</v>
      </c>
      <c r="L147" s="1" t="s">
        <v>74</v>
      </c>
      <c r="M147" s="1" t="s">
        <v>74</v>
      </c>
      <c r="N147" s="1" t="s">
        <v>74</v>
      </c>
      <c r="O147" s="1" t="s">
        <v>74</v>
      </c>
      <c r="P147" s="1" t="s">
        <v>74</v>
      </c>
      <c r="Q147" s="1" t="s">
        <v>74</v>
      </c>
      <c r="R147" s="1" t="s">
        <v>74</v>
      </c>
      <c r="S147" s="1" t="s">
        <v>74</v>
      </c>
      <c r="T147" s="1" t="s">
        <v>74</v>
      </c>
      <c r="U147" s="1" t="s">
        <v>74</v>
      </c>
      <c r="V147" s="1" t="s">
        <v>1671</v>
      </c>
      <c r="W147" s="1" t="s">
        <v>74</v>
      </c>
      <c r="X147" s="1" t="s">
        <v>74</v>
      </c>
      <c r="Y147" s="1" t="s">
        <v>74</v>
      </c>
      <c r="Z147" s="1" t="s">
        <v>74</v>
      </c>
      <c r="AA147" s="1" t="s">
        <v>1672</v>
      </c>
      <c r="AB147" s="1" t="s">
        <v>1673</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1674</v>
      </c>
      <c r="AP147" s="1" t="s">
        <v>74</v>
      </c>
      <c r="AQ147" s="1" t="s">
        <v>74</v>
      </c>
      <c r="AR147" s="1" t="s">
        <v>74</v>
      </c>
      <c r="AS147" s="1" t="s">
        <v>74</v>
      </c>
      <c r="AT147" s="1" t="s">
        <v>239</v>
      </c>
      <c r="AU147" s="1">
        <v>2004.0</v>
      </c>
      <c r="AV147" s="1" t="s">
        <v>74</v>
      </c>
      <c r="AW147" s="1">
        <v>5.0</v>
      </c>
      <c r="AX147" s="1" t="s">
        <v>74</v>
      </c>
      <c r="AY147" s="1" t="s">
        <v>74</v>
      </c>
      <c r="AZ147" s="1" t="s">
        <v>74</v>
      </c>
      <c r="BA147" s="1" t="s">
        <v>74</v>
      </c>
      <c r="BB147" s="1" t="s">
        <v>74</v>
      </c>
      <c r="BC147" s="1" t="s">
        <v>74</v>
      </c>
      <c r="BD147" s="1">
        <v>22.0</v>
      </c>
      <c r="BE147" s="1" t="s">
        <v>74</v>
      </c>
      <c r="BF147" s="1" t="s">
        <v>74</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1675</v>
      </c>
      <c r="BT147" s="1" t="str">
        <f>HYPERLINK("https%3A%2F%2Fwww.webofscience.com%2Fwos%2Fwoscc%2Ffull-record%2FWOS:000222828800022","View Full Record in Web of Science")</f>
        <v>View Full Record in Web of Science</v>
      </c>
    </row>
    <row r="148" ht="12.75" customHeight="1">
      <c r="A148" s="1" t="s">
        <v>72</v>
      </c>
      <c r="B148" s="1" t="s">
        <v>1676</v>
      </c>
      <c r="C148" s="1" t="s">
        <v>74</v>
      </c>
      <c r="D148" s="1" t="s">
        <v>74</v>
      </c>
      <c r="E148" s="1" t="s">
        <v>74</v>
      </c>
      <c r="F148" s="1" t="s">
        <v>1676</v>
      </c>
      <c r="G148" s="1" t="s">
        <v>74</v>
      </c>
      <c r="H148" s="1" t="s">
        <v>74</v>
      </c>
      <c r="I148" s="1" t="s">
        <v>1677</v>
      </c>
      <c r="J148" s="1" t="s">
        <v>1678</v>
      </c>
      <c r="K148" s="1" t="s">
        <v>74</v>
      </c>
      <c r="L148" s="1" t="s">
        <v>74</v>
      </c>
      <c r="M148" s="1" t="s">
        <v>74</v>
      </c>
      <c r="N148" s="1" t="s">
        <v>74</v>
      </c>
      <c r="O148" s="1" t="s">
        <v>74</v>
      </c>
      <c r="P148" s="1" t="s">
        <v>74</v>
      </c>
      <c r="Q148" s="1" t="s">
        <v>74</v>
      </c>
      <c r="R148" s="1" t="s">
        <v>74</v>
      </c>
      <c r="S148" s="1" t="s">
        <v>74</v>
      </c>
      <c r="T148" s="1" t="s">
        <v>74</v>
      </c>
      <c r="U148" s="1" t="s">
        <v>74</v>
      </c>
      <c r="V148" s="1" t="s">
        <v>1679</v>
      </c>
      <c r="W148" s="1" t="s">
        <v>74</v>
      </c>
      <c r="X148" s="1" t="s">
        <v>74</v>
      </c>
      <c r="Y148" s="1" t="s">
        <v>74</v>
      </c>
      <c r="Z148" s="1" t="s">
        <v>74</v>
      </c>
      <c r="AA148" s="1" t="s">
        <v>1314</v>
      </c>
      <c r="AB148" s="1" t="s">
        <v>1315</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1680</v>
      </c>
      <c r="AP148" s="1" t="s">
        <v>74</v>
      </c>
      <c r="AQ148" s="1" t="s">
        <v>74</v>
      </c>
      <c r="AR148" s="1" t="s">
        <v>74</v>
      </c>
      <c r="AS148" s="1" t="s">
        <v>74</v>
      </c>
      <c r="AT148" s="1" t="s">
        <v>106</v>
      </c>
      <c r="AU148" s="1">
        <v>2000.0</v>
      </c>
      <c r="AV148" s="1">
        <v>18.0</v>
      </c>
      <c r="AW148" s="1">
        <v>11.0</v>
      </c>
      <c r="AX148" s="1" t="s">
        <v>74</v>
      </c>
      <c r="AY148" s="1" t="s">
        <v>74</v>
      </c>
      <c r="AZ148" s="1" t="s">
        <v>74</v>
      </c>
      <c r="BA148" s="1" t="s">
        <v>74</v>
      </c>
      <c r="BB148" s="1">
        <v>1399.0</v>
      </c>
      <c r="BC148" s="1">
        <v>1411.0</v>
      </c>
      <c r="BD148" s="1" t="s">
        <v>74</v>
      </c>
      <c r="BE148" s="1" t="s">
        <v>1681</v>
      </c>
      <c r="BF148" s="2" t="str">
        <f>HYPERLINK("http://dx.doi.org/10.1007/s005850000290","http://dx.doi.org/10.1007/s005850000290")</f>
        <v>http://dx.doi.org/10.1007/s005850000290</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1682</v>
      </c>
      <c r="BT148" s="1" t="str">
        <f>HYPERLINK("https%3A%2F%2Fwww.webofscience.com%2Fwos%2Fwoscc%2Ffull-record%2FWOS:000165431300004","View Full Record in Web of Science")</f>
        <v>View Full Record in Web of Science</v>
      </c>
    </row>
    <row r="149" ht="12.75" customHeight="1">
      <c r="A149" s="1" t="s">
        <v>72</v>
      </c>
      <c r="B149" s="1" t="s">
        <v>1683</v>
      </c>
      <c r="C149" s="1" t="s">
        <v>74</v>
      </c>
      <c r="D149" s="1" t="s">
        <v>74</v>
      </c>
      <c r="E149" s="1" t="s">
        <v>74</v>
      </c>
      <c r="F149" s="1" t="s">
        <v>1684</v>
      </c>
      <c r="G149" s="1" t="s">
        <v>74</v>
      </c>
      <c r="H149" s="1" t="s">
        <v>74</v>
      </c>
      <c r="I149" s="1" t="s">
        <v>1685</v>
      </c>
      <c r="J149" s="1" t="s">
        <v>1686</v>
      </c>
      <c r="K149" s="1" t="s">
        <v>74</v>
      </c>
      <c r="L149" s="1" t="s">
        <v>74</v>
      </c>
      <c r="M149" s="1" t="s">
        <v>74</v>
      </c>
      <c r="N149" s="1" t="s">
        <v>74</v>
      </c>
      <c r="O149" s="1" t="s">
        <v>74</v>
      </c>
      <c r="P149" s="1" t="s">
        <v>74</v>
      </c>
      <c r="Q149" s="1" t="s">
        <v>74</v>
      </c>
      <c r="R149" s="1" t="s">
        <v>74</v>
      </c>
      <c r="S149" s="1" t="s">
        <v>74</v>
      </c>
      <c r="T149" s="1" t="s">
        <v>74</v>
      </c>
      <c r="U149" s="1" t="s">
        <v>74</v>
      </c>
      <c r="V149" s="1" t="s">
        <v>1687</v>
      </c>
      <c r="W149" s="1" t="s">
        <v>74</v>
      </c>
      <c r="X149" s="1" t="s">
        <v>74</v>
      </c>
      <c r="Y149" s="1" t="s">
        <v>74</v>
      </c>
      <c r="Z149" s="1" t="s">
        <v>74</v>
      </c>
      <c r="AA149" s="1" t="s">
        <v>1688</v>
      </c>
      <c r="AB149" s="1" t="s">
        <v>1689</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1690</v>
      </c>
      <c r="AP149" s="1" t="s">
        <v>1691</v>
      </c>
      <c r="AQ149" s="1" t="s">
        <v>74</v>
      </c>
      <c r="AR149" s="1" t="s">
        <v>74</v>
      </c>
      <c r="AS149" s="1" t="s">
        <v>74</v>
      </c>
      <c r="AT149" s="1" t="s">
        <v>334</v>
      </c>
      <c r="AU149" s="1">
        <v>2023.0</v>
      </c>
      <c r="AV149" s="1">
        <v>234.0</v>
      </c>
      <c r="AW149" s="1" t="s">
        <v>74</v>
      </c>
      <c r="AX149" s="1" t="s">
        <v>74</v>
      </c>
      <c r="AY149" s="1" t="s">
        <v>74</v>
      </c>
      <c r="AZ149" s="1" t="s">
        <v>74</v>
      </c>
      <c r="BA149" s="1" t="s">
        <v>74</v>
      </c>
      <c r="BB149" s="1" t="s">
        <v>74</v>
      </c>
      <c r="BC149" s="1" t="s">
        <v>74</v>
      </c>
      <c r="BD149" s="1">
        <v>112315.0</v>
      </c>
      <c r="BE149" s="1" t="s">
        <v>1692</v>
      </c>
      <c r="BF149" s="2" t="str">
        <f>HYPERLINK("http://dx.doi.org/10.1016/j.matdes.2023.112315","http://dx.doi.org/10.1016/j.matdes.2023.112315")</f>
        <v>http://dx.doi.org/10.1016/j.matdes.2023.112315</v>
      </c>
      <c r="BG149" s="1" t="s">
        <v>74</v>
      </c>
      <c r="BH149" s="1" t="s">
        <v>314</v>
      </c>
      <c r="BI149" s="1" t="s">
        <v>74</v>
      </c>
      <c r="BJ149" s="1" t="s">
        <v>74</v>
      </c>
      <c r="BK149" s="1" t="s">
        <v>74</v>
      </c>
      <c r="BL149" s="1" t="s">
        <v>74</v>
      </c>
      <c r="BM149" s="1" t="s">
        <v>74</v>
      </c>
      <c r="BN149" s="1" t="s">
        <v>74</v>
      </c>
      <c r="BO149" s="1" t="s">
        <v>74</v>
      </c>
      <c r="BP149" s="1" t="s">
        <v>74</v>
      </c>
      <c r="BQ149" s="1" t="s">
        <v>74</v>
      </c>
      <c r="BR149" s="1" t="s">
        <v>74</v>
      </c>
      <c r="BS149" s="1" t="s">
        <v>1693</v>
      </c>
      <c r="BT149" s="1" t="str">
        <f>HYPERLINK("https%3A%2F%2Fwww.webofscience.com%2Fwos%2Fwoscc%2Ffull-record%2FWOS:001108653800001","View Full Record in Web of Science")</f>
        <v>View Full Record in Web of Science</v>
      </c>
    </row>
    <row r="150" ht="12.75" customHeight="1">
      <c r="A150" s="1" t="s">
        <v>72</v>
      </c>
      <c r="B150" s="1" t="s">
        <v>1694</v>
      </c>
      <c r="C150" s="1" t="s">
        <v>74</v>
      </c>
      <c r="D150" s="1" t="s">
        <v>74</v>
      </c>
      <c r="E150" s="1" t="s">
        <v>74</v>
      </c>
      <c r="F150" s="1" t="s">
        <v>1695</v>
      </c>
      <c r="G150" s="1" t="s">
        <v>74</v>
      </c>
      <c r="H150" s="1" t="s">
        <v>74</v>
      </c>
      <c r="I150" s="1" t="s">
        <v>1696</v>
      </c>
      <c r="J150" s="1" t="s">
        <v>1638</v>
      </c>
      <c r="K150" s="1" t="s">
        <v>74</v>
      </c>
      <c r="L150" s="1" t="s">
        <v>74</v>
      </c>
      <c r="M150" s="1" t="s">
        <v>74</v>
      </c>
      <c r="N150" s="1" t="s">
        <v>74</v>
      </c>
      <c r="O150" s="1" t="s">
        <v>74</v>
      </c>
      <c r="P150" s="1" t="s">
        <v>74</v>
      </c>
      <c r="Q150" s="1" t="s">
        <v>74</v>
      </c>
      <c r="R150" s="1" t="s">
        <v>74</v>
      </c>
      <c r="S150" s="1" t="s">
        <v>74</v>
      </c>
      <c r="T150" s="1" t="s">
        <v>74</v>
      </c>
      <c r="U150" s="1" t="s">
        <v>74</v>
      </c>
      <c r="V150" s="1" t="s">
        <v>1697</v>
      </c>
      <c r="W150" s="1" t="s">
        <v>74</v>
      </c>
      <c r="X150" s="1" t="s">
        <v>74</v>
      </c>
      <c r="Y150" s="1" t="s">
        <v>74</v>
      </c>
      <c r="Z150" s="1" t="s">
        <v>74</v>
      </c>
      <c r="AA150" s="1" t="s">
        <v>1698</v>
      </c>
      <c r="AB150" s="1" t="s">
        <v>1699</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74</v>
      </c>
      <c r="AP150" s="1" t="s">
        <v>1642</v>
      </c>
      <c r="AQ150" s="1" t="s">
        <v>74</v>
      </c>
      <c r="AR150" s="1" t="s">
        <v>74</v>
      </c>
      <c r="AS150" s="1" t="s">
        <v>74</v>
      </c>
      <c r="AT150" s="1" t="s">
        <v>214</v>
      </c>
      <c r="AU150" s="1">
        <v>2023.0</v>
      </c>
      <c r="AV150" s="1">
        <v>13.0</v>
      </c>
      <c r="AW150" s="1">
        <v>3.0</v>
      </c>
      <c r="AX150" s="1" t="s">
        <v>74</v>
      </c>
      <c r="AY150" s="1" t="s">
        <v>74</v>
      </c>
      <c r="AZ150" s="1" t="s">
        <v>74</v>
      </c>
      <c r="BA150" s="1" t="s">
        <v>74</v>
      </c>
      <c r="BB150" s="1" t="s">
        <v>74</v>
      </c>
      <c r="BC150" s="1" t="s">
        <v>74</v>
      </c>
      <c r="BD150" s="1">
        <v>572.0</v>
      </c>
      <c r="BE150" s="1" t="s">
        <v>1700</v>
      </c>
      <c r="BF150" s="2" t="str">
        <f>HYPERLINK("http://dx.doi.org/10.3390/nano13030572","http://dx.doi.org/10.3390/nano13030572")</f>
        <v>http://dx.doi.org/10.3390/nano13030572</v>
      </c>
      <c r="BG150" s="1" t="s">
        <v>74</v>
      </c>
      <c r="BH150" s="1" t="s">
        <v>74</v>
      </c>
      <c r="BI150" s="1" t="s">
        <v>74</v>
      </c>
      <c r="BJ150" s="1" t="s">
        <v>74</v>
      </c>
      <c r="BK150" s="1" t="s">
        <v>74</v>
      </c>
      <c r="BL150" s="1" t="s">
        <v>74</v>
      </c>
      <c r="BM150" s="1" t="s">
        <v>74</v>
      </c>
      <c r="BN150" s="1">
        <v>3.6770533E7</v>
      </c>
      <c r="BO150" s="1" t="s">
        <v>74</v>
      </c>
      <c r="BP150" s="1" t="s">
        <v>74</v>
      </c>
      <c r="BQ150" s="1" t="s">
        <v>74</v>
      </c>
      <c r="BR150" s="1" t="s">
        <v>74</v>
      </c>
      <c r="BS150" s="1" t="s">
        <v>1701</v>
      </c>
      <c r="BT150" s="1" t="str">
        <f>HYPERLINK("https%3A%2F%2Fwww.webofscience.com%2Fwos%2Fwoscc%2Ffull-record%2FWOS:000932878800001","View Full Record in Web of Science")</f>
        <v>View Full Record in Web of Science</v>
      </c>
    </row>
    <row r="151" ht="12.75" customHeight="1">
      <c r="A151" s="1" t="s">
        <v>72</v>
      </c>
      <c r="B151" s="1" t="s">
        <v>1702</v>
      </c>
      <c r="C151" s="1" t="s">
        <v>74</v>
      </c>
      <c r="D151" s="1" t="s">
        <v>74</v>
      </c>
      <c r="E151" s="1" t="s">
        <v>74</v>
      </c>
      <c r="F151" s="1" t="s">
        <v>1703</v>
      </c>
      <c r="G151" s="1" t="s">
        <v>74</v>
      </c>
      <c r="H151" s="1" t="s">
        <v>74</v>
      </c>
      <c r="I151" s="1" t="s">
        <v>1704</v>
      </c>
      <c r="J151" s="1" t="s">
        <v>1705</v>
      </c>
      <c r="K151" s="1" t="s">
        <v>74</v>
      </c>
      <c r="L151" s="1" t="s">
        <v>74</v>
      </c>
      <c r="M151" s="1" t="s">
        <v>74</v>
      </c>
      <c r="N151" s="1" t="s">
        <v>74</v>
      </c>
      <c r="O151" s="1" t="s">
        <v>74</v>
      </c>
      <c r="P151" s="1" t="s">
        <v>74</v>
      </c>
      <c r="Q151" s="1" t="s">
        <v>74</v>
      </c>
      <c r="R151" s="1" t="s">
        <v>74</v>
      </c>
      <c r="S151" s="1" t="s">
        <v>74</v>
      </c>
      <c r="T151" s="1" t="s">
        <v>74</v>
      </c>
      <c r="U151" s="1" t="s">
        <v>74</v>
      </c>
      <c r="V151" s="1" t="s">
        <v>1706</v>
      </c>
      <c r="W151" s="1" t="s">
        <v>74</v>
      </c>
      <c r="X151" s="1" t="s">
        <v>74</v>
      </c>
      <c r="Y151" s="1" t="s">
        <v>74</v>
      </c>
      <c r="Z151" s="1" t="s">
        <v>74</v>
      </c>
      <c r="AA151" s="1" t="s">
        <v>1707</v>
      </c>
      <c r="AB151" s="1" t="s">
        <v>1708</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1709</v>
      </c>
      <c r="AP151" s="1" t="s">
        <v>74</v>
      </c>
      <c r="AQ151" s="1" t="s">
        <v>74</v>
      </c>
      <c r="AR151" s="1" t="s">
        <v>74</v>
      </c>
      <c r="AS151" s="1" t="s">
        <v>74</v>
      </c>
      <c r="AT151" s="1" t="s">
        <v>1710</v>
      </c>
      <c r="AU151" s="1">
        <v>2023.0</v>
      </c>
      <c r="AV151" s="1">
        <v>16.0</v>
      </c>
      <c r="AW151" s="1">
        <v>1.0</v>
      </c>
      <c r="AX151" s="1" t="s">
        <v>74</v>
      </c>
      <c r="AY151" s="1" t="s">
        <v>74</v>
      </c>
      <c r="AZ151" s="1" t="s">
        <v>74</v>
      </c>
      <c r="BA151" s="1" t="s">
        <v>74</v>
      </c>
      <c r="BB151" s="1" t="s">
        <v>74</v>
      </c>
      <c r="BC151" s="1" t="s">
        <v>74</v>
      </c>
      <c r="BD151" s="1">
        <v>38.0</v>
      </c>
      <c r="BE151" s="1" t="s">
        <v>1711</v>
      </c>
      <c r="BF151" s="2" t="str">
        <f>HYPERLINK("http://dx.doi.org/10.1186/s13071-023-05657-9","http://dx.doi.org/10.1186/s13071-023-05657-9")</f>
        <v>http://dx.doi.org/10.1186/s13071-023-05657-9</v>
      </c>
      <c r="BG151" s="1" t="s">
        <v>74</v>
      </c>
      <c r="BH151" s="1" t="s">
        <v>74</v>
      </c>
      <c r="BI151" s="1" t="s">
        <v>74</v>
      </c>
      <c r="BJ151" s="1" t="s">
        <v>74</v>
      </c>
      <c r="BK151" s="1" t="s">
        <v>74</v>
      </c>
      <c r="BL151" s="1" t="s">
        <v>74</v>
      </c>
      <c r="BM151" s="1" t="s">
        <v>74</v>
      </c>
      <c r="BN151" s="1">
        <v>3.6707862E7</v>
      </c>
      <c r="BO151" s="1" t="s">
        <v>74</v>
      </c>
      <c r="BP151" s="1" t="s">
        <v>74</v>
      </c>
      <c r="BQ151" s="1" t="s">
        <v>74</v>
      </c>
      <c r="BR151" s="1" t="s">
        <v>74</v>
      </c>
      <c r="BS151" s="1" t="s">
        <v>1712</v>
      </c>
      <c r="BT151" s="1" t="str">
        <f>HYPERLINK("https%3A%2F%2Fwww.webofscience.com%2Fwos%2Fwoscc%2Ffull-record%2FWOS:000923137900002","View Full Record in Web of Science")</f>
        <v>View Full Record in Web of Science</v>
      </c>
    </row>
    <row r="152" ht="12.75" customHeight="1">
      <c r="A152" s="1" t="s">
        <v>72</v>
      </c>
      <c r="B152" s="1" t="s">
        <v>1713</v>
      </c>
      <c r="C152" s="1" t="s">
        <v>74</v>
      </c>
      <c r="D152" s="1" t="s">
        <v>74</v>
      </c>
      <c r="E152" s="1" t="s">
        <v>74</v>
      </c>
      <c r="F152" s="1" t="s">
        <v>1714</v>
      </c>
      <c r="G152" s="1" t="s">
        <v>74</v>
      </c>
      <c r="H152" s="1" t="s">
        <v>74</v>
      </c>
      <c r="I152" s="1" t="s">
        <v>1715</v>
      </c>
      <c r="J152" s="1" t="s">
        <v>1716</v>
      </c>
      <c r="K152" s="1" t="s">
        <v>74</v>
      </c>
      <c r="L152" s="1" t="s">
        <v>74</v>
      </c>
      <c r="M152" s="1" t="s">
        <v>74</v>
      </c>
      <c r="N152" s="1" t="s">
        <v>74</v>
      </c>
      <c r="O152" s="1" t="s">
        <v>74</v>
      </c>
      <c r="P152" s="1" t="s">
        <v>74</v>
      </c>
      <c r="Q152" s="1" t="s">
        <v>74</v>
      </c>
      <c r="R152" s="1" t="s">
        <v>74</v>
      </c>
      <c r="S152" s="1" t="s">
        <v>74</v>
      </c>
      <c r="T152" s="1" t="s">
        <v>74</v>
      </c>
      <c r="U152" s="1" t="s">
        <v>74</v>
      </c>
      <c r="V152" s="1" t="s">
        <v>74</v>
      </c>
      <c r="W152" s="1" t="s">
        <v>74</v>
      </c>
      <c r="X152" s="1" t="s">
        <v>74</v>
      </c>
      <c r="Y152" s="1" t="s">
        <v>74</v>
      </c>
      <c r="Z152" s="1" t="s">
        <v>74</v>
      </c>
      <c r="AA152" s="1" t="s">
        <v>1717</v>
      </c>
      <c r="AB152" s="1" t="s">
        <v>1718</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1719</v>
      </c>
      <c r="AP152" s="1" t="s">
        <v>1720</v>
      </c>
      <c r="AQ152" s="1" t="s">
        <v>74</v>
      </c>
      <c r="AR152" s="1" t="s">
        <v>74</v>
      </c>
      <c r="AS152" s="1" t="s">
        <v>74</v>
      </c>
      <c r="AT152" s="1" t="s">
        <v>264</v>
      </c>
      <c r="AU152" s="1">
        <v>2023.0</v>
      </c>
      <c r="AV152" s="1">
        <v>158.0</v>
      </c>
      <c r="AW152" s="1" t="s">
        <v>74</v>
      </c>
      <c r="AX152" s="1" t="s">
        <v>74</v>
      </c>
      <c r="AY152" s="1" t="s">
        <v>74</v>
      </c>
      <c r="AZ152" s="1" t="s">
        <v>74</v>
      </c>
      <c r="BA152" s="1" t="s">
        <v>74</v>
      </c>
      <c r="BB152" s="1">
        <v>1.0</v>
      </c>
      <c r="BC152" s="1">
        <v>3.0</v>
      </c>
      <c r="BD152" s="1" t="s">
        <v>74</v>
      </c>
      <c r="BE152" s="1" t="s">
        <v>1721</v>
      </c>
      <c r="BF152" s="2" t="str">
        <f>HYPERLINK("http://dx.doi.org/10.1016/j.cortex.2022.10.008","http://dx.doi.org/10.1016/j.cortex.2022.10.008")</f>
        <v>http://dx.doi.org/10.1016/j.cortex.2022.10.008</v>
      </c>
      <c r="BG152" s="1" t="s">
        <v>74</v>
      </c>
      <c r="BH152" s="1" t="s">
        <v>1722</v>
      </c>
      <c r="BI152" s="1" t="s">
        <v>74</v>
      </c>
      <c r="BJ152" s="1" t="s">
        <v>74</v>
      </c>
      <c r="BK152" s="1" t="s">
        <v>74</v>
      </c>
      <c r="BL152" s="1" t="s">
        <v>74</v>
      </c>
      <c r="BM152" s="1" t="s">
        <v>74</v>
      </c>
      <c r="BN152" s="1">
        <v>3.6402119E7</v>
      </c>
      <c r="BO152" s="1" t="s">
        <v>74</v>
      </c>
      <c r="BP152" s="1" t="s">
        <v>74</v>
      </c>
      <c r="BQ152" s="1" t="s">
        <v>74</v>
      </c>
      <c r="BR152" s="1" t="s">
        <v>74</v>
      </c>
      <c r="BS152" s="1" t="s">
        <v>1723</v>
      </c>
      <c r="BT152" s="1" t="str">
        <f>HYPERLINK("https%3A%2F%2Fwww.webofscience.com%2Fwos%2Fwoscc%2Ffull-record%2FWOS:000903749600001","View Full Record in Web of Science")</f>
        <v>View Full Record in Web of Science</v>
      </c>
    </row>
    <row r="153" ht="12.75" customHeight="1">
      <c r="A153" s="1" t="s">
        <v>72</v>
      </c>
      <c r="B153" s="1" t="s">
        <v>1724</v>
      </c>
      <c r="C153" s="1" t="s">
        <v>74</v>
      </c>
      <c r="D153" s="1" t="s">
        <v>74</v>
      </c>
      <c r="E153" s="1" t="s">
        <v>74</v>
      </c>
      <c r="F153" s="1" t="s">
        <v>1725</v>
      </c>
      <c r="G153" s="1" t="s">
        <v>74</v>
      </c>
      <c r="H153" s="1" t="s">
        <v>74</v>
      </c>
      <c r="I153" s="1" t="s">
        <v>1726</v>
      </c>
      <c r="J153" s="1" t="s">
        <v>1727</v>
      </c>
      <c r="K153" s="1" t="s">
        <v>74</v>
      </c>
      <c r="L153" s="1" t="s">
        <v>74</v>
      </c>
      <c r="M153" s="1" t="s">
        <v>74</v>
      </c>
      <c r="N153" s="1" t="s">
        <v>74</v>
      </c>
      <c r="O153" s="1" t="s">
        <v>74</v>
      </c>
      <c r="P153" s="1" t="s">
        <v>74</v>
      </c>
      <c r="Q153" s="1" t="s">
        <v>74</v>
      </c>
      <c r="R153" s="1" t="s">
        <v>74</v>
      </c>
      <c r="S153" s="1" t="s">
        <v>74</v>
      </c>
      <c r="T153" s="1" t="s">
        <v>74</v>
      </c>
      <c r="U153" s="1" t="s">
        <v>74</v>
      </c>
      <c r="V153" s="1" t="s">
        <v>1728</v>
      </c>
      <c r="W153" s="1" t="s">
        <v>74</v>
      </c>
      <c r="X153" s="1" t="s">
        <v>74</v>
      </c>
      <c r="Y153" s="1" t="s">
        <v>74</v>
      </c>
      <c r="Z153" s="1" t="s">
        <v>74</v>
      </c>
      <c r="AA153" s="1" t="s">
        <v>1729</v>
      </c>
      <c r="AB153" s="1" t="s">
        <v>1730</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1731</v>
      </c>
      <c r="AP153" s="1" t="s">
        <v>1732</v>
      </c>
      <c r="AQ153" s="1" t="s">
        <v>74</v>
      </c>
      <c r="AR153" s="1" t="s">
        <v>74</v>
      </c>
      <c r="AS153" s="1" t="s">
        <v>74</v>
      </c>
      <c r="AT153" s="1" t="s">
        <v>202</v>
      </c>
      <c r="AU153" s="1">
        <v>2020.0</v>
      </c>
      <c r="AV153" s="1">
        <v>50.0</v>
      </c>
      <c r="AW153" s="1">
        <v>6.0</v>
      </c>
      <c r="AX153" s="1" t="s">
        <v>74</v>
      </c>
      <c r="AY153" s="1" t="s">
        <v>74</v>
      </c>
      <c r="AZ153" s="1" t="s">
        <v>74</v>
      </c>
      <c r="BA153" s="1" t="s">
        <v>74</v>
      </c>
      <c r="BB153" s="1">
        <v>1095.0</v>
      </c>
      <c r="BC153" s="1">
        <v>1106.0</v>
      </c>
      <c r="BD153" s="1" t="s">
        <v>74</v>
      </c>
      <c r="BE153" s="1" t="s">
        <v>1733</v>
      </c>
      <c r="BF153" s="2" t="str">
        <f>HYPERLINK("http://dx.doi.org/10.1007/s40279-020-01259-y","http://dx.doi.org/10.1007/s40279-020-01259-y")</f>
        <v>http://dx.doi.org/10.1007/s40279-020-01259-y</v>
      </c>
      <c r="BG153" s="1" t="s">
        <v>74</v>
      </c>
      <c r="BH153" s="1" t="s">
        <v>1734</v>
      </c>
      <c r="BI153" s="1" t="s">
        <v>74</v>
      </c>
      <c r="BJ153" s="1" t="s">
        <v>74</v>
      </c>
      <c r="BK153" s="1" t="s">
        <v>74</v>
      </c>
      <c r="BL153" s="1" t="s">
        <v>74</v>
      </c>
      <c r="BM153" s="1" t="s">
        <v>74</v>
      </c>
      <c r="BN153" s="1">
        <v>3.2020543E7</v>
      </c>
      <c r="BO153" s="1" t="s">
        <v>74</v>
      </c>
      <c r="BP153" s="1" t="s">
        <v>74</v>
      </c>
      <c r="BQ153" s="1" t="s">
        <v>74</v>
      </c>
      <c r="BR153" s="1" t="s">
        <v>74</v>
      </c>
      <c r="BS153" s="1" t="s">
        <v>1735</v>
      </c>
      <c r="BT153" s="1" t="str">
        <f>HYPERLINK("https%3A%2F%2Fwww.webofscience.com%2Fwos%2Fwoscc%2Ffull-record%2FWOS:000511041300001","View Full Record in Web of Science")</f>
        <v>View Full Record in Web of Science</v>
      </c>
    </row>
    <row r="154" ht="12.75" customHeight="1">
      <c r="A154" s="1" t="s">
        <v>72</v>
      </c>
      <c r="B154" s="1" t="s">
        <v>1736</v>
      </c>
      <c r="C154" s="1" t="s">
        <v>74</v>
      </c>
      <c r="D154" s="1" t="s">
        <v>74</v>
      </c>
      <c r="E154" s="1" t="s">
        <v>74</v>
      </c>
      <c r="F154" s="1" t="s">
        <v>1737</v>
      </c>
      <c r="G154" s="1" t="s">
        <v>74</v>
      </c>
      <c r="H154" s="1" t="s">
        <v>74</v>
      </c>
      <c r="I154" s="1" t="s">
        <v>1738</v>
      </c>
      <c r="J154" s="1" t="s">
        <v>1739</v>
      </c>
      <c r="K154" s="1" t="s">
        <v>74</v>
      </c>
      <c r="L154" s="1" t="s">
        <v>74</v>
      </c>
      <c r="M154" s="1" t="s">
        <v>74</v>
      </c>
      <c r="N154" s="1" t="s">
        <v>74</v>
      </c>
      <c r="O154" s="1" t="s">
        <v>74</v>
      </c>
      <c r="P154" s="1" t="s">
        <v>74</v>
      </c>
      <c r="Q154" s="1" t="s">
        <v>74</v>
      </c>
      <c r="R154" s="1" t="s">
        <v>74</v>
      </c>
      <c r="S154" s="1" t="s">
        <v>74</v>
      </c>
      <c r="T154" s="1" t="s">
        <v>74</v>
      </c>
      <c r="U154" s="1" t="s">
        <v>74</v>
      </c>
      <c r="V154" s="1" t="s">
        <v>1740</v>
      </c>
      <c r="W154" s="1" t="s">
        <v>74</v>
      </c>
      <c r="X154" s="1" t="s">
        <v>74</v>
      </c>
      <c r="Y154" s="1" t="s">
        <v>74</v>
      </c>
      <c r="Z154" s="1" t="s">
        <v>74</v>
      </c>
      <c r="AA154" s="1" t="s">
        <v>1741</v>
      </c>
      <c r="AB154" s="1" t="s">
        <v>1742</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1743</v>
      </c>
      <c r="AP154" s="1" t="s">
        <v>1744</v>
      </c>
      <c r="AQ154" s="1" t="s">
        <v>74</v>
      </c>
      <c r="AR154" s="1" t="s">
        <v>74</v>
      </c>
      <c r="AS154" s="1" t="s">
        <v>74</v>
      </c>
      <c r="AT154" s="1" t="s">
        <v>214</v>
      </c>
      <c r="AU154" s="1">
        <v>2020.0</v>
      </c>
      <c r="AV154" s="1">
        <v>138.0</v>
      </c>
      <c r="AW154" s="1" t="s">
        <v>74</v>
      </c>
      <c r="AX154" s="1" t="s">
        <v>74</v>
      </c>
      <c r="AY154" s="1" t="s">
        <v>74</v>
      </c>
      <c r="AZ154" s="1" t="s">
        <v>74</v>
      </c>
      <c r="BA154" s="1" t="s">
        <v>74</v>
      </c>
      <c r="BB154" s="1" t="s">
        <v>74</v>
      </c>
      <c r="BC154" s="1" t="s">
        <v>74</v>
      </c>
      <c r="BD154" s="1">
        <v>105509.0</v>
      </c>
      <c r="BE154" s="1" t="s">
        <v>1745</v>
      </c>
      <c r="BF154" s="2" t="str">
        <f>HYPERLINK("http://dx.doi.org/10.1016/j.bandc.2019.105509","http://dx.doi.org/10.1016/j.bandc.2019.105509")</f>
        <v>http://dx.doi.org/10.1016/j.bandc.2019.105509</v>
      </c>
      <c r="BG154" s="1" t="s">
        <v>74</v>
      </c>
      <c r="BH154" s="1" t="s">
        <v>74</v>
      </c>
      <c r="BI154" s="1" t="s">
        <v>74</v>
      </c>
      <c r="BJ154" s="1" t="s">
        <v>74</v>
      </c>
      <c r="BK154" s="1" t="s">
        <v>74</v>
      </c>
      <c r="BL154" s="1" t="s">
        <v>74</v>
      </c>
      <c r="BM154" s="1" t="s">
        <v>74</v>
      </c>
      <c r="BN154" s="1">
        <v>3.1855702E7</v>
      </c>
      <c r="BO154" s="1" t="s">
        <v>74</v>
      </c>
      <c r="BP154" s="1" t="s">
        <v>74</v>
      </c>
      <c r="BQ154" s="1" t="s">
        <v>74</v>
      </c>
      <c r="BR154" s="1" t="s">
        <v>74</v>
      </c>
      <c r="BS154" s="1" t="s">
        <v>1746</v>
      </c>
      <c r="BT154" s="1" t="str">
        <f>HYPERLINK("https%3A%2F%2Fwww.webofscience.com%2Fwos%2Fwoscc%2Ffull-record%2FWOS:000509818100010","View Full Record in Web of Science")</f>
        <v>View Full Record in Web of Science</v>
      </c>
    </row>
    <row r="155" ht="12.75" customHeight="1">
      <c r="A155" s="1" t="s">
        <v>72</v>
      </c>
      <c r="B155" s="1" t="s">
        <v>1747</v>
      </c>
      <c r="C155" s="1" t="s">
        <v>74</v>
      </c>
      <c r="D155" s="1" t="s">
        <v>74</v>
      </c>
      <c r="E155" s="1" t="s">
        <v>74</v>
      </c>
      <c r="F155" s="1" t="s">
        <v>1748</v>
      </c>
      <c r="G155" s="1" t="s">
        <v>74</v>
      </c>
      <c r="H155" s="1" t="s">
        <v>74</v>
      </c>
      <c r="I155" s="1" t="s">
        <v>1749</v>
      </c>
      <c r="J155" s="1" t="s">
        <v>363</v>
      </c>
      <c r="K155" s="1" t="s">
        <v>74</v>
      </c>
      <c r="L155" s="1" t="s">
        <v>74</v>
      </c>
      <c r="M155" s="1" t="s">
        <v>74</v>
      </c>
      <c r="N155" s="1" t="s">
        <v>74</v>
      </c>
      <c r="O155" s="1" t="s">
        <v>74</v>
      </c>
      <c r="P155" s="1" t="s">
        <v>74</v>
      </c>
      <c r="Q155" s="1" t="s">
        <v>74</v>
      </c>
      <c r="R155" s="1" t="s">
        <v>74</v>
      </c>
      <c r="S155" s="1" t="s">
        <v>74</v>
      </c>
      <c r="T155" s="1" t="s">
        <v>74</v>
      </c>
      <c r="U155" s="1" t="s">
        <v>74</v>
      </c>
      <c r="V155" s="1" t="s">
        <v>1750</v>
      </c>
      <c r="W155" s="1" t="s">
        <v>74</v>
      </c>
      <c r="X155" s="1" t="s">
        <v>74</v>
      </c>
      <c r="Y155" s="1" t="s">
        <v>74</v>
      </c>
      <c r="Z155" s="1" t="s">
        <v>74</v>
      </c>
      <c r="AA155" s="1" t="s">
        <v>1751</v>
      </c>
      <c r="AB155" s="1" t="s">
        <v>1752</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367</v>
      </c>
      <c r="AP155" s="1" t="s">
        <v>368</v>
      </c>
      <c r="AQ155" s="1" t="s">
        <v>74</v>
      </c>
      <c r="AR155" s="1" t="s">
        <v>74</v>
      </c>
      <c r="AS155" s="1" t="s">
        <v>74</v>
      </c>
      <c r="AT155" s="1" t="s">
        <v>1753</v>
      </c>
      <c r="AU155" s="1">
        <v>2019.0</v>
      </c>
      <c r="AV155" s="1">
        <v>11.0</v>
      </c>
      <c r="AW155" s="1">
        <v>22.0</v>
      </c>
      <c r="AX155" s="1" t="s">
        <v>74</v>
      </c>
      <c r="AY155" s="1" t="s">
        <v>74</v>
      </c>
      <c r="AZ155" s="1" t="s">
        <v>74</v>
      </c>
      <c r="BA155" s="1" t="s">
        <v>74</v>
      </c>
      <c r="BB155" s="1">
        <v>19751.0</v>
      </c>
      <c r="BC155" s="1">
        <v>19762.0</v>
      </c>
      <c r="BD155" s="1" t="s">
        <v>74</v>
      </c>
      <c r="BE155" s="1" t="s">
        <v>1754</v>
      </c>
      <c r="BF155" s="2" t="str">
        <f>HYPERLINK("http://dx.doi.org/10.1021/acsami.9b02503","http://dx.doi.org/10.1021/acsami.9b02503")</f>
        <v>http://dx.doi.org/10.1021/acsami.9b02503</v>
      </c>
      <c r="BG155" s="1" t="s">
        <v>74</v>
      </c>
      <c r="BH155" s="1" t="s">
        <v>74</v>
      </c>
      <c r="BI155" s="1" t="s">
        <v>74</v>
      </c>
      <c r="BJ155" s="1" t="s">
        <v>74</v>
      </c>
      <c r="BK155" s="1" t="s">
        <v>74</v>
      </c>
      <c r="BL155" s="1" t="s">
        <v>74</v>
      </c>
      <c r="BM155" s="1" t="s">
        <v>74</v>
      </c>
      <c r="BN155" s="1">
        <v>3.1074956E7</v>
      </c>
      <c r="BO155" s="1" t="s">
        <v>74</v>
      </c>
      <c r="BP155" s="1" t="s">
        <v>74</v>
      </c>
      <c r="BQ155" s="1" t="s">
        <v>74</v>
      </c>
      <c r="BR155" s="1" t="s">
        <v>74</v>
      </c>
      <c r="BS155" s="1" t="s">
        <v>1755</v>
      </c>
      <c r="BT155" s="1" t="str">
        <f>HYPERLINK("https%3A%2F%2Fwww.webofscience.com%2Fwos%2Fwoscc%2Ffull-record%2FWOS:000470938500009","View Full Record in Web of Science")</f>
        <v>View Full Record in Web of Science</v>
      </c>
    </row>
    <row r="156" ht="12.75" customHeight="1">
      <c r="A156" s="1" t="s">
        <v>72</v>
      </c>
      <c r="B156" s="1" t="s">
        <v>1756</v>
      </c>
      <c r="C156" s="1" t="s">
        <v>74</v>
      </c>
      <c r="D156" s="1" t="s">
        <v>74</v>
      </c>
      <c r="E156" s="1" t="s">
        <v>74</v>
      </c>
      <c r="F156" s="1" t="s">
        <v>1757</v>
      </c>
      <c r="G156" s="1" t="s">
        <v>74</v>
      </c>
      <c r="H156" s="1" t="s">
        <v>74</v>
      </c>
      <c r="I156" s="1" t="s">
        <v>1758</v>
      </c>
      <c r="J156" s="1" t="s">
        <v>904</v>
      </c>
      <c r="K156" s="1" t="s">
        <v>74</v>
      </c>
      <c r="L156" s="1" t="s">
        <v>74</v>
      </c>
      <c r="M156" s="1" t="s">
        <v>74</v>
      </c>
      <c r="N156" s="1" t="s">
        <v>74</v>
      </c>
      <c r="O156" s="1" t="s">
        <v>74</v>
      </c>
      <c r="P156" s="1" t="s">
        <v>74</v>
      </c>
      <c r="Q156" s="1" t="s">
        <v>74</v>
      </c>
      <c r="R156" s="1" t="s">
        <v>74</v>
      </c>
      <c r="S156" s="1" t="s">
        <v>74</v>
      </c>
      <c r="T156" s="1" t="s">
        <v>74</v>
      </c>
      <c r="U156" s="1" t="s">
        <v>74</v>
      </c>
      <c r="V156" s="1" t="s">
        <v>1759</v>
      </c>
      <c r="W156" s="1" t="s">
        <v>74</v>
      </c>
      <c r="X156" s="1" t="s">
        <v>74</v>
      </c>
      <c r="Y156" s="1" t="s">
        <v>74</v>
      </c>
      <c r="Z156" s="1" t="s">
        <v>74</v>
      </c>
      <c r="AA156" s="1" t="s">
        <v>1760</v>
      </c>
      <c r="AB156" s="1" t="s">
        <v>1761</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906</v>
      </c>
      <c r="AP156" s="1" t="s">
        <v>74</v>
      </c>
      <c r="AQ156" s="1" t="s">
        <v>74</v>
      </c>
      <c r="AR156" s="1" t="s">
        <v>74</v>
      </c>
      <c r="AS156" s="1" t="s">
        <v>74</v>
      </c>
      <c r="AT156" s="1" t="s">
        <v>745</v>
      </c>
      <c r="AU156" s="1">
        <v>2014.0</v>
      </c>
      <c r="AV156" s="1">
        <v>13.0</v>
      </c>
      <c r="AW156" s="1">
        <v>4.0</v>
      </c>
      <c r="AX156" s="1" t="s">
        <v>74</v>
      </c>
      <c r="AY156" s="1" t="s">
        <v>74</v>
      </c>
      <c r="AZ156" s="1" t="s">
        <v>74</v>
      </c>
      <c r="BA156" s="1" t="s">
        <v>74</v>
      </c>
      <c r="BB156" s="1">
        <v>366.0</v>
      </c>
      <c r="BC156" s="1">
        <v>374.0</v>
      </c>
      <c r="BD156" s="1" t="s">
        <v>74</v>
      </c>
      <c r="BE156" s="1" t="s">
        <v>74</v>
      </c>
      <c r="BF156" s="1" t="s">
        <v>74</v>
      </c>
      <c r="BG156" s="1" t="s">
        <v>74</v>
      </c>
      <c r="BH156" s="1" t="s">
        <v>74</v>
      </c>
      <c r="BI156" s="1" t="s">
        <v>74</v>
      </c>
      <c r="BJ156" s="1" t="s">
        <v>74</v>
      </c>
      <c r="BK156" s="1" t="s">
        <v>74</v>
      </c>
      <c r="BL156" s="1" t="s">
        <v>74</v>
      </c>
      <c r="BM156" s="1" t="s">
        <v>74</v>
      </c>
      <c r="BN156" s="1" t="s">
        <v>74</v>
      </c>
      <c r="BO156" s="1" t="s">
        <v>74</v>
      </c>
      <c r="BP156" s="1" t="s">
        <v>74</v>
      </c>
      <c r="BQ156" s="1" t="s">
        <v>74</v>
      </c>
      <c r="BR156" s="1" t="s">
        <v>74</v>
      </c>
      <c r="BS156" s="1" t="s">
        <v>1762</v>
      </c>
      <c r="BT156" s="1" t="str">
        <f>HYPERLINK("https%3A%2F%2Fwww.webofscience.com%2Fwos%2Fwoscc%2Ffull-record%2FWOS:000343600200008","View Full Record in Web of Science")</f>
        <v>View Full Record in Web of Science</v>
      </c>
    </row>
    <row r="157" ht="12.75" customHeight="1">
      <c r="A157" s="1" t="s">
        <v>72</v>
      </c>
      <c r="B157" s="1" t="s">
        <v>1763</v>
      </c>
      <c r="C157" s="1" t="s">
        <v>74</v>
      </c>
      <c r="D157" s="1" t="s">
        <v>74</v>
      </c>
      <c r="E157" s="1" t="s">
        <v>74</v>
      </c>
      <c r="F157" s="1" t="s">
        <v>1764</v>
      </c>
      <c r="G157" s="1" t="s">
        <v>74</v>
      </c>
      <c r="H157" s="1" t="s">
        <v>74</v>
      </c>
      <c r="I157" s="1" t="s">
        <v>1765</v>
      </c>
      <c r="J157" s="1" t="s">
        <v>1766</v>
      </c>
      <c r="K157" s="1" t="s">
        <v>74</v>
      </c>
      <c r="L157" s="1" t="s">
        <v>74</v>
      </c>
      <c r="M157" s="1" t="s">
        <v>74</v>
      </c>
      <c r="N157" s="1" t="s">
        <v>74</v>
      </c>
      <c r="O157" s="1" t="s">
        <v>74</v>
      </c>
      <c r="P157" s="1" t="s">
        <v>74</v>
      </c>
      <c r="Q157" s="1" t="s">
        <v>74</v>
      </c>
      <c r="R157" s="1" t="s">
        <v>74</v>
      </c>
      <c r="S157" s="1" t="s">
        <v>74</v>
      </c>
      <c r="T157" s="1" t="s">
        <v>74</v>
      </c>
      <c r="U157" s="1" t="s">
        <v>74</v>
      </c>
      <c r="V157" s="1" t="s">
        <v>1767</v>
      </c>
      <c r="W157" s="1" t="s">
        <v>74</v>
      </c>
      <c r="X157" s="1" t="s">
        <v>74</v>
      </c>
      <c r="Y157" s="1" t="s">
        <v>74</v>
      </c>
      <c r="Z157" s="1" t="s">
        <v>74</v>
      </c>
      <c r="AA157" s="1" t="s">
        <v>1768</v>
      </c>
      <c r="AB157" s="1" t="s">
        <v>1769</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1770</v>
      </c>
      <c r="AP157" s="1" t="s">
        <v>74</v>
      </c>
      <c r="AQ157" s="1" t="s">
        <v>74</v>
      </c>
      <c r="AR157" s="1" t="s">
        <v>74</v>
      </c>
      <c r="AS157" s="1" t="s">
        <v>74</v>
      </c>
      <c r="AT157" s="1" t="s">
        <v>202</v>
      </c>
      <c r="AU157" s="1">
        <v>2011.0</v>
      </c>
      <c r="AV157" s="1">
        <v>89.0</v>
      </c>
      <c r="AW157" s="1">
        <v>6.0</v>
      </c>
      <c r="AX157" s="1" t="s">
        <v>74</v>
      </c>
      <c r="AY157" s="1" t="s">
        <v>74</v>
      </c>
      <c r="AZ157" s="1" t="s">
        <v>74</v>
      </c>
      <c r="BA157" s="1" t="s">
        <v>74</v>
      </c>
      <c r="BB157" s="1">
        <v>628.0</v>
      </c>
      <c r="BC157" s="1">
        <v>638.0</v>
      </c>
      <c r="BD157" s="1" t="s">
        <v>74</v>
      </c>
      <c r="BE157" s="1" t="s">
        <v>1771</v>
      </c>
      <c r="BF157" s="2" t="str">
        <f>HYPERLINK("http://dx.doi.org/10.1139/V11-056","http://dx.doi.org/10.1139/V11-056")</f>
        <v>http://dx.doi.org/10.1139/V11-056</v>
      </c>
      <c r="BG157" s="1" t="s">
        <v>74</v>
      </c>
      <c r="BH157" s="1" t="s">
        <v>74</v>
      </c>
      <c r="BI157" s="1" t="s">
        <v>74</v>
      </c>
      <c r="BJ157" s="1" t="s">
        <v>74</v>
      </c>
      <c r="BK157" s="1" t="s">
        <v>74</v>
      </c>
      <c r="BL157" s="1" t="s">
        <v>74</v>
      </c>
      <c r="BM157" s="1" t="s">
        <v>74</v>
      </c>
      <c r="BN157" s="1" t="s">
        <v>74</v>
      </c>
      <c r="BO157" s="1" t="s">
        <v>74</v>
      </c>
      <c r="BP157" s="1" t="s">
        <v>74</v>
      </c>
      <c r="BQ157" s="1" t="s">
        <v>74</v>
      </c>
      <c r="BR157" s="1" t="s">
        <v>74</v>
      </c>
      <c r="BS157" s="1" t="s">
        <v>1772</v>
      </c>
      <c r="BT157" s="1" t="str">
        <f>HYPERLINK("https%3A%2F%2Fwww.webofscience.com%2Fwos%2Fwoscc%2Ffull-record%2FWOS:000293318800003","View Full Record in Web of Science")</f>
        <v>View Full Record in Web of Science</v>
      </c>
    </row>
    <row r="158" ht="12.75" customHeight="1">
      <c r="A158" s="1" t="s">
        <v>72</v>
      </c>
      <c r="B158" s="1" t="s">
        <v>1773</v>
      </c>
      <c r="C158" s="1" t="s">
        <v>74</v>
      </c>
      <c r="D158" s="1" t="s">
        <v>74</v>
      </c>
      <c r="E158" s="1" t="s">
        <v>74</v>
      </c>
      <c r="F158" s="1" t="s">
        <v>1774</v>
      </c>
      <c r="G158" s="1" t="s">
        <v>74</v>
      </c>
      <c r="H158" s="1" t="s">
        <v>74</v>
      </c>
      <c r="I158" s="1" t="s">
        <v>1775</v>
      </c>
      <c r="J158" s="1" t="s">
        <v>480</v>
      </c>
      <c r="K158" s="1" t="s">
        <v>74</v>
      </c>
      <c r="L158" s="1" t="s">
        <v>74</v>
      </c>
      <c r="M158" s="1" t="s">
        <v>74</v>
      </c>
      <c r="N158" s="1" t="s">
        <v>74</v>
      </c>
      <c r="O158" s="1" t="s">
        <v>74</v>
      </c>
      <c r="P158" s="1" t="s">
        <v>74</v>
      </c>
      <c r="Q158" s="1" t="s">
        <v>74</v>
      </c>
      <c r="R158" s="1" t="s">
        <v>74</v>
      </c>
      <c r="S158" s="1" t="s">
        <v>74</v>
      </c>
      <c r="T158" s="1" t="s">
        <v>74</v>
      </c>
      <c r="U158" s="1" t="s">
        <v>74</v>
      </c>
      <c r="V158" s="1" t="s">
        <v>1776</v>
      </c>
      <c r="W158" s="1" t="s">
        <v>74</v>
      </c>
      <c r="X158" s="1" t="s">
        <v>74</v>
      </c>
      <c r="Y158" s="1" t="s">
        <v>74</v>
      </c>
      <c r="Z158" s="1" t="s">
        <v>74</v>
      </c>
      <c r="AA158" s="1" t="s">
        <v>1777</v>
      </c>
      <c r="AB158" s="1" t="s">
        <v>1778</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484</v>
      </c>
      <c r="AP158" s="1" t="s">
        <v>74</v>
      </c>
      <c r="AQ158" s="1" t="s">
        <v>74</v>
      </c>
      <c r="AR158" s="1" t="s">
        <v>74</v>
      </c>
      <c r="AS158" s="1" t="s">
        <v>74</v>
      </c>
      <c r="AT158" s="1" t="s">
        <v>1779</v>
      </c>
      <c r="AU158" s="1">
        <v>2024.0</v>
      </c>
      <c r="AV158" s="1">
        <v>14.0</v>
      </c>
      <c r="AW158" s="1">
        <v>1.0</v>
      </c>
      <c r="AX158" s="1" t="s">
        <v>74</v>
      </c>
      <c r="AY158" s="1" t="s">
        <v>74</v>
      </c>
      <c r="AZ158" s="1" t="s">
        <v>74</v>
      </c>
      <c r="BA158" s="1" t="s">
        <v>74</v>
      </c>
      <c r="BB158" s="1" t="s">
        <v>74</v>
      </c>
      <c r="BC158" s="1" t="s">
        <v>74</v>
      </c>
      <c r="BD158" s="1">
        <v>31100.0</v>
      </c>
      <c r="BE158" s="1" t="s">
        <v>1780</v>
      </c>
      <c r="BF158" s="2" t="str">
        <f>HYPERLINK("http://dx.doi.org/10.1038/s41598-024-82396-6","http://dx.doi.org/10.1038/s41598-024-82396-6")</f>
        <v>http://dx.doi.org/10.1038/s41598-024-82396-6</v>
      </c>
      <c r="BG158" s="1" t="s">
        <v>74</v>
      </c>
      <c r="BH158" s="1" t="s">
        <v>74</v>
      </c>
      <c r="BI158" s="1" t="s">
        <v>74</v>
      </c>
      <c r="BJ158" s="1" t="s">
        <v>74</v>
      </c>
      <c r="BK158" s="1" t="s">
        <v>74</v>
      </c>
      <c r="BL158" s="1" t="s">
        <v>74</v>
      </c>
      <c r="BM158" s="1" t="s">
        <v>74</v>
      </c>
      <c r="BN158" s="1">
        <v>3.9730815E7</v>
      </c>
      <c r="BO158" s="1" t="s">
        <v>74</v>
      </c>
      <c r="BP158" s="1" t="s">
        <v>74</v>
      </c>
      <c r="BQ158" s="1" t="s">
        <v>74</v>
      </c>
      <c r="BR158" s="1" t="s">
        <v>74</v>
      </c>
      <c r="BS158" s="1" t="s">
        <v>1781</v>
      </c>
      <c r="BT158" s="1" t="str">
        <f>HYPERLINK("https%3A%2F%2Fwww.webofscience.com%2Fwos%2Fwoscc%2Ffull-record%2FWOS:001388405400048","View Full Record in Web of Science")</f>
        <v>View Full Record in Web of Science</v>
      </c>
    </row>
    <row r="159" ht="12.75" customHeight="1">
      <c r="A159" s="1" t="s">
        <v>72</v>
      </c>
      <c r="B159" s="1" t="s">
        <v>1782</v>
      </c>
      <c r="C159" s="1" t="s">
        <v>74</v>
      </c>
      <c r="D159" s="1" t="s">
        <v>74</v>
      </c>
      <c r="E159" s="1" t="s">
        <v>74</v>
      </c>
      <c r="F159" s="1" t="s">
        <v>1783</v>
      </c>
      <c r="G159" s="1" t="s">
        <v>74</v>
      </c>
      <c r="H159" s="1" t="s">
        <v>74</v>
      </c>
      <c r="I159" s="1" t="s">
        <v>1784</v>
      </c>
      <c r="J159" s="1" t="s">
        <v>1785</v>
      </c>
      <c r="K159" s="1" t="s">
        <v>74</v>
      </c>
      <c r="L159" s="1" t="s">
        <v>74</v>
      </c>
      <c r="M159" s="1" t="s">
        <v>74</v>
      </c>
      <c r="N159" s="1" t="s">
        <v>74</v>
      </c>
      <c r="O159" s="1" t="s">
        <v>1786</v>
      </c>
      <c r="P159" s="1" t="s">
        <v>1787</v>
      </c>
      <c r="Q159" s="1" t="s">
        <v>1788</v>
      </c>
      <c r="R159" s="1" t="s">
        <v>1789</v>
      </c>
      <c r="S159" s="1" t="s">
        <v>74</v>
      </c>
      <c r="T159" s="1" t="s">
        <v>74</v>
      </c>
      <c r="U159" s="1" t="s">
        <v>74</v>
      </c>
      <c r="V159" s="1" t="s">
        <v>74</v>
      </c>
      <c r="W159" s="1" t="s">
        <v>74</v>
      </c>
      <c r="X159" s="1" t="s">
        <v>74</v>
      </c>
      <c r="Y159" s="1" t="s">
        <v>74</v>
      </c>
      <c r="Z159" s="1" t="s">
        <v>74</v>
      </c>
      <c r="AA159" s="1" t="s">
        <v>1790</v>
      </c>
      <c r="AB159" s="1" t="s">
        <v>74</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1791</v>
      </c>
      <c r="AP159" s="1" t="s">
        <v>1792</v>
      </c>
      <c r="AQ159" s="1" t="s">
        <v>74</v>
      </c>
      <c r="AR159" s="1" t="s">
        <v>74</v>
      </c>
      <c r="AS159" s="1" t="s">
        <v>74</v>
      </c>
      <c r="AT159" s="1" t="s">
        <v>1455</v>
      </c>
      <c r="AU159" s="1">
        <v>2023.0</v>
      </c>
      <c r="AV159" s="1">
        <v>64.0</v>
      </c>
      <c r="AW159" s="1" t="s">
        <v>74</v>
      </c>
      <c r="AX159" s="1" t="s">
        <v>74</v>
      </c>
      <c r="AY159" s="1">
        <v>1.0</v>
      </c>
      <c r="AZ159" s="1" t="s">
        <v>74</v>
      </c>
      <c r="BA159" s="1" t="s">
        <v>1793</v>
      </c>
      <c r="BB159" s="1" t="s">
        <v>74</v>
      </c>
      <c r="BC159" s="1" t="s">
        <v>74</v>
      </c>
      <c r="BD159" s="1" t="s">
        <v>74</v>
      </c>
      <c r="BE159" s="1" t="s">
        <v>74</v>
      </c>
      <c r="BF159" s="1" t="s">
        <v>74</v>
      </c>
      <c r="BG159" s="1" t="s">
        <v>74</v>
      </c>
      <c r="BH159" s="1" t="s">
        <v>74</v>
      </c>
      <c r="BI159" s="1" t="s">
        <v>74</v>
      </c>
      <c r="BJ159" s="1" t="s">
        <v>74</v>
      </c>
      <c r="BK159" s="1" t="s">
        <v>74</v>
      </c>
      <c r="BL159" s="1" t="s">
        <v>74</v>
      </c>
      <c r="BM159" s="1" t="s">
        <v>74</v>
      </c>
      <c r="BN159" s="1" t="s">
        <v>74</v>
      </c>
      <c r="BO159" s="1" t="s">
        <v>74</v>
      </c>
      <c r="BP159" s="1" t="s">
        <v>74</v>
      </c>
      <c r="BQ159" s="1" t="s">
        <v>74</v>
      </c>
      <c r="BR159" s="1" t="s">
        <v>74</v>
      </c>
      <c r="BS159" s="1" t="s">
        <v>1794</v>
      </c>
      <c r="BT159" s="1" t="str">
        <f>HYPERLINK("https%3A%2F%2Fwww.webofscience.com%2Fwos%2Fwoscc%2Ffull-record%2FWOS:001109210201335","View Full Record in Web of Science")</f>
        <v>View Full Record in Web of Science</v>
      </c>
    </row>
    <row r="160" ht="12.75" customHeight="1">
      <c r="A160" s="1" t="s">
        <v>72</v>
      </c>
      <c r="B160" s="1" t="s">
        <v>1795</v>
      </c>
      <c r="C160" s="1" t="s">
        <v>74</v>
      </c>
      <c r="D160" s="1" t="s">
        <v>74</v>
      </c>
      <c r="E160" s="1" t="s">
        <v>74</v>
      </c>
      <c r="F160" s="1" t="s">
        <v>1796</v>
      </c>
      <c r="G160" s="1" t="s">
        <v>74</v>
      </c>
      <c r="H160" s="1" t="s">
        <v>74</v>
      </c>
      <c r="I160" s="1" t="s">
        <v>1797</v>
      </c>
      <c r="J160" s="1" t="s">
        <v>1798</v>
      </c>
      <c r="K160" s="1" t="s">
        <v>74</v>
      </c>
      <c r="L160" s="1" t="s">
        <v>74</v>
      </c>
      <c r="M160" s="1" t="s">
        <v>74</v>
      </c>
      <c r="N160" s="1" t="s">
        <v>74</v>
      </c>
      <c r="O160" s="1" t="s">
        <v>74</v>
      </c>
      <c r="P160" s="1" t="s">
        <v>74</v>
      </c>
      <c r="Q160" s="1" t="s">
        <v>74</v>
      </c>
      <c r="R160" s="1" t="s">
        <v>74</v>
      </c>
      <c r="S160" s="1" t="s">
        <v>74</v>
      </c>
      <c r="T160" s="1" t="s">
        <v>74</v>
      </c>
      <c r="U160" s="1" t="s">
        <v>74</v>
      </c>
      <c r="V160" s="1" t="s">
        <v>1799</v>
      </c>
      <c r="W160" s="1" t="s">
        <v>74</v>
      </c>
      <c r="X160" s="1" t="s">
        <v>74</v>
      </c>
      <c r="Y160" s="1" t="s">
        <v>74</v>
      </c>
      <c r="Z160" s="1" t="s">
        <v>74</v>
      </c>
      <c r="AA160" s="1" t="s">
        <v>1800</v>
      </c>
      <c r="AB160" s="1" t="s">
        <v>1801</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1802</v>
      </c>
      <c r="AP160" s="1" t="s">
        <v>1803</v>
      </c>
      <c r="AQ160" s="1" t="s">
        <v>74</v>
      </c>
      <c r="AR160" s="1" t="s">
        <v>74</v>
      </c>
      <c r="AS160" s="1" t="s">
        <v>74</v>
      </c>
      <c r="AT160" s="1" t="s">
        <v>346</v>
      </c>
      <c r="AU160" s="1">
        <v>2022.0</v>
      </c>
      <c r="AV160" s="1">
        <v>91.0</v>
      </c>
      <c r="AW160" s="1">
        <v>4.0</v>
      </c>
      <c r="AX160" s="1" t="s">
        <v>74</v>
      </c>
      <c r="AY160" s="1" t="s">
        <v>74</v>
      </c>
      <c r="AZ160" s="1" t="s">
        <v>74</v>
      </c>
      <c r="BA160" s="1" t="s">
        <v>74</v>
      </c>
      <c r="BB160" s="1">
        <v>912.0</v>
      </c>
      <c r="BC160" s="1">
        <v>920.0</v>
      </c>
      <c r="BD160" s="1" t="s">
        <v>74</v>
      </c>
      <c r="BE160" s="1" t="s">
        <v>1804</v>
      </c>
      <c r="BF160" s="2" t="str">
        <f>HYPERLINK("http://dx.doi.org/10.1038/s41390-021-01441-6","http://dx.doi.org/10.1038/s41390-021-01441-6")</f>
        <v>http://dx.doi.org/10.1038/s41390-021-01441-6</v>
      </c>
      <c r="BG160" s="1" t="s">
        <v>74</v>
      </c>
      <c r="BH160" s="1" t="s">
        <v>241</v>
      </c>
      <c r="BI160" s="1" t="s">
        <v>74</v>
      </c>
      <c r="BJ160" s="1" t="s">
        <v>74</v>
      </c>
      <c r="BK160" s="1" t="s">
        <v>74</v>
      </c>
      <c r="BL160" s="1" t="s">
        <v>74</v>
      </c>
      <c r="BM160" s="1" t="s">
        <v>74</v>
      </c>
      <c r="BN160" s="1">
        <v>3.3846557E7</v>
      </c>
      <c r="BO160" s="1" t="s">
        <v>74</v>
      </c>
      <c r="BP160" s="1" t="s">
        <v>74</v>
      </c>
      <c r="BQ160" s="1" t="s">
        <v>74</v>
      </c>
      <c r="BR160" s="1" t="s">
        <v>74</v>
      </c>
      <c r="BS160" s="1" t="s">
        <v>1805</v>
      </c>
      <c r="BT160" s="1" t="str">
        <f>HYPERLINK("https%3A%2F%2Fwww.webofscience.com%2Fwos%2Fwoscc%2Ffull-record%2FWOS:000639627800004","View Full Record in Web of Science")</f>
        <v>View Full Record in Web of Science</v>
      </c>
    </row>
    <row r="161" ht="12.75" customHeight="1">
      <c r="A161" s="1" t="s">
        <v>72</v>
      </c>
      <c r="B161" s="1" t="s">
        <v>1806</v>
      </c>
      <c r="C161" s="1" t="s">
        <v>74</v>
      </c>
      <c r="D161" s="1" t="s">
        <v>74</v>
      </c>
      <c r="E161" s="1" t="s">
        <v>74</v>
      </c>
      <c r="F161" s="1" t="s">
        <v>1807</v>
      </c>
      <c r="G161" s="1" t="s">
        <v>74</v>
      </c>
      <c r="H161" s="1" t="s">
        <v>74</v>
      </c>
      <c r="I161" s="1" t="s">
        <v>1808</v>
      </c>
      <c r="J161" s="1" t="s">
        <v>1809</v>
      </c>
      <c r="K161" s="1" t="s">
        <v>74</v>
      </c>
      <c r="L161" s="1" t="s">
        <v>74</v>
      </c>
      <c r="M161" s="1" t="s">
        <v>74</v>
      </c>
      <c r="N161" s="1" t="s">
        <v>74</v>
      </c>
      <c r="O161" s="1" t="s">
        <v>74</v>
      </c>
      <c r="P161" s="1" t="s">
        <v>74</v>
      </c>
      <c r="Q161" s="1" t="s">
        <v>74</v>
      </c>
      <c r="R161" s="1" t="s">
        <v>74</v>
      </c>
      <c r="S161" s="1" t="s">
        <v>74</v>
      </c>
      <c r="T161" s="1" t="s">
        <v>74</v>
      </c>
      <c r="U161" s="1" t="s">
        <v>74</v>
      </c>
      <c r="V161" s="1" t="s">
        <v>1810</v>
      </c>
      <c r="W161" s="1" t="s">
        <v>74</v>
      </c>
      <c r="X161" s="1" t="s">
        <v>74</v>
      </c>
      <c r="Y161" s="1" t="s">
        <v>74</v>
      </c>
      <c r="Z161" s="1" t="s">
        <v>74</v>
      </c>
      <c r="AA161" s="1" t="s">
        <v>1811</v>
      </c>
      <c r="AB161" s="1" t="s">
        <v>1812</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1813</v>
      </c>
      <c r="AP161" s="1" t="s">
        <v>1814</v>
      </c>
      <c r="AQ161" s="1" t="s">
        <v>74</v>
      </c>
      <c r="AR161" s="1" t="s">
        <v>74</v>
      </c>
      <c r="AS161" s="1" t="s">
        <v>74</v>
      </c>
      <c r="AT161" s="1" t="s">
        <v>141</v>
      </c>
      <c r="AU161" s="1">
        <v>2014.0</v>
      </c>
      <c r="AV161" s="1">
        <v>111.0</v>
      </c>
      <c r="AW161" s="1" t="s">
        <v>74</v>
      </c>
      <c r="AX161" s="1" t="s">
        <v>74</v>
      </c>
      <c r="AY161" s="1" t="s">
        <v>74</v>
      </c>
      <c r="AZ161" s="1" t="s">
        <v>74</v>
      </c>
      <c r="BA161" s="1" t="s">
        <v>74</v>
      </c>
      <c r="BB161" s="1">
        <v>195.0</v>
      </c>
      <c r="BC161" s="1">
        <v>200.0</v>
      </c>
      <c r="BD161" s="1" t="s">
        <v>74</v>
      </c>
      <c r="BE161" s="1" t="s">
        <v>1815</v>
      </c>
      <c r="BF161" s="2" t="str">
        <f>HYPERLINK("http://dx.doi.org/10.1016/j.chemosphere.2014.03.027","http://dx.doi.org/10.1016/j.chemosphere.2014.03.027")</f>
        <v>http://dx.doi.org/10.1016/j.chemosphere.2014.03.027</v>
      </c>
      <c r="BG161" s="1" t="s">
        <v>74</v>
      </c>
      <c r="BH161" s="1" t="s">
        <v>74</v>
      </c>
      <c r="BI161" s="1" t="s">
        <v>74</v>
      </c>
      <c r="BJ161" s="1" t="s">
        <v>74</v>
      </c>
      <c r="BK161" s="1" t="s">
        <v>74</v>
      </c>
      <c r="BL161" s="1" t="s">
        <v>74</v>
      </c>
      <c r="BM161" s="1" t="s">
        <v>74</v>
      </c>
      <c r="BN161" s="1">
        <v>2.4997918E7</v>
      </c>
      <c r="BO161" s="1" t="s">
        <v>74</v>
      </c>
      <c r="BP161" s="1" t="s">
        <v>74</v>
      </c>
      <c r="BQ161" s="1" t="s">
        <v>74</v>
      </c>
      <c r="BR161" s="1" t="s">
        <v>74</v>
      </c>
      <c r="BS161" s="1" t="s">
        <v>1816</v>
      </c>
      <c r="BT161" s="1" t="str">
        <f>HYPERLINK("https%3A%2F%2Fwww.webofscience.com%2Fwos%2Fwoscc%2Ffull-record%2FWOS:000339601600027","View Full Record in Web of Science")</f>
        <v>View Full Record in Web of Science</v>
      </c>
    </row>
    <row r="162" ht="12.75" customHeight="1">
      <c r="A162" s="1" t="s">
        <v>72</v>
      </c>
      <c r="B162" s="1" t="s">
        <v>1817</v>
      </c>
      <c r="C162" s="1" t="s">
        <v>74</v>
      </c>
      <c r="D162" s="1" t="s">
        <v>74</v>
      </c>
      <c r="E162" s="1" t="s">
        <v>74</v>
      </c>
      <c r="F162" s="1" t="s">
        <v>1818</v>
      </c>
      <c r="G162" s="1" t="s">
        <v>74</v>
      </c>
      <c r="H162" s="1" t="s">
        <v>74</v>
      </c>
      <c r="I162" s="1" t="s">
        <v>1819</v>
      </c>
      <c r="J162" s="1" t="s">
        <v>480</v>
      </c>
      <c r="K162" s="1" t="s">
        <v>74</v>
      </c>
      <c r="L162" s="1" t="s">
        <v>74</v>
      </c>
      <c r="M162" s="1" t="s">
        <v>74</v>
      </c>
      <c r="N162" s="1" t="s">
        <v>74</v>
      </c>
      <c r="O162" s="1" t="s">
        <v>74</v>
      </c>
      <c r="P162" s="1" t="s">
        <v>74</v>
      </c>
      <c r="Q162" s="1" t="s">
        <v>74</v>
      </c>
      <c r="R162" s="1" t="s">
        <v>74</v>
      </c>
      <c r="S162" s="1" t="s">
        <v>74</v>
      </c>
      <c r="T162" s="1" t="s">
        <v>74</v>
      </c>
      <c r="U162" s="1" t="s">
        <v>74</v>
      </c>
      <c r="V162" s="1" t="s">
        <v>1820</v>
      </c>
      <c r="W162" s="1" t="s">
        <v>74</v>
      </c>
      <c r="X162" s="1" t="s">
        <v>74</v>
      </c>
      <c r="Y162" s="1" t="s">
        <v>74</v>
      </c>
      <c r="Z162" s="1" t="s">
        <v>74</v>
      </c>
      <c r="AA162" s="1" t="s">
        <v>1821</v>
      </c>
      <c r="AB162" s="1" t="s">
        <v>1822</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484</v>
      </c>
      <c r="AP162" s="1" t="s">
        <v>74</v>
      </c>
      <c r="AQ162" s="1" t="s">
        <v>74</v>
      </c>
      <c r="AR162" s="1" t="s">
        <v>74</v>
      </c>
      <c r="AS162" s="1" t="s">
        <v>74</v>
      </c>
      <c r="AT162" s="1" t="s">
        <v>1823</v>
      </c>
      <c r="AU162" s="1">
        <v>2025.0</v>
      </c>
      <c r="AV162" s="1">
        <v>15.0</v>
      </c>
      <c r="AW162" s="1">
        <v>1.0</v>
      </c>
      <c r="AX162" s="1" t="s">
        <v>74</v>
      </c>
      <c r="AY162" s="1" t="s">
        <v>74</v>
      </c>
      <c r="AZ162" s="1" t="s">
        <v>74</v>
      </c>
      <c r="BA162" s="1" t="s">
        <v>74</v>
      </c>
      <c r="BB162" s="1" t="s">
        <v>74</v>
      </c>
      <c r="BC162" s="1" t="s">
        <v>74</v>
      </c>
      <c r="BD162" s="1">
        <v>3870.0</v>
      </c>
      <c r="BE162" s="1" t="s">
        <v>1824</v>
      </c>
      <c r="BF162" s="2" t="str">
        <f>HYPERLINK("http://dx.doi.org/10.1038/s41598-025-86004-z","http://dx.doi.org/10.1038/s41598-025-86004-z")</f>
        <v>http://dx.doi.org/10.1038/s41598-025-86004-z</v>
      </c>
      <c r="BG162" s="1" t="s">
        <v>74</v>
      </c>
      <c r="BH162" s="1" t="s">
        <v>74</v>
      </c>
      <c r="BI162" s="1" t="s">
        <v>74</v>
      </c>
      <c r="BJ162" s="1" t="s">
        <v>74</v>
      </c>
      <c r="BK162" s="1" t="s">
        <v>74</v>
      </c>
      <c r="BL162" s="1" t="s">
        <v>74</v>
      </c>
      <c r="BM162" s="1" t="s">
        <v>74</v>
      </c>
      <c r="BN162" s="1">
        <v>3.9890916E7</v>
      </c>
      <c r="BO162" s="1" t="s">
        <v>74</v>
      </c>
      <c r="BP162" s="1" t="s">
        <v>74</v>
      </c>
      <c r="BQ162" s="1" t="s">
        <v>74</v>
      </c>
      <c r="BR162" s="1" t="s">
        <v>74</v>
      </c>
      <c r="BS162" s="1" t="s">
        <v>1825</v>
      </c>
      <c r="BT162" s="1" t="str">
        <f>HYPERLINK("https%3A%2F%2Fwww.webofscience.com%2Fwos%2Fwoscc%2Ffull-record%2FWOS:001412550000021","View Full Record in Web of Science")</f>
        <v>View Full Record in Web of Science</v>
      </c>
    </row>
    <row r="163" ht="12.75" customHeight="1">
      <c r="A163" s="1" t="s">
        <v>462</v>
      </c>
      <c r="B163" s="1" t="s">
        <v>1826</v>
      </c>
      <c r="C163" s="1" t="s">
        <v>74</v>
      </c>
      <c r="D163" s="1" t="s">
        <v>74</v>
      </c>
      <c r="E163" s="1" t="s">
        <v>489</v>
      </c>
      <c r="F163" s="1" t="s">
        <v>1827</v>
      </c>
      <c r="G163" s="1" t="s">
        <v>74</v>
      </c>
      <c r="H163" s="1" t="s">
        <v>74</v>
      </c>
      <c r="I163" s="1" t="s">
        <v>1828</v>
      </c>
      <c r="J163" s="1" t="s">
        <v>1829</v>
      </c>
      <c r="K163" s="1" t="s">
        <v>74</v>
      </c>
      <c r="L163" s="1" t="s">
        <v>74</v>
      </c>
      <c r="M163" s="1" t="s">
        <v>74</v>
      </c>
      <c r="N163" s="1" t="s">
        <v>74</v>
      </c>
      <c r="O163" s="1" t="s">
        <v>1830</v>
      </c>
      <c r="P163" s="1" t="s">
        <v>1831</v>
      </c>
      <c r="Q163" s="1" t="s">
        <v>1832</v>
      </c>
      <c r="R163" s="1" t="s">
        <v>74</v>
      </c>
      <c r="S163" s="1" t="s">
        <v>74</v>
      </c>
      <c r="T163" s="1" t="s">
        <v>74</v>
      </c>
      <c r="U163" s="1" t="s">
        <v>74</v>
      </c>
      <c r="V163" s="1" t="s">
        <v>1833</v>
      </c>
      <c r="W163" s="1" t="s">
        <v>74</v>
      </c>
      <c r="X163" s="1" t="s">
        <v>74</v>
      </c>
      <c r="Y163" s="1" t="s">
        <v>74</v>
      </c>
      <c r="Z163" s="1" t="s">
        <v>74</v>
      </c>
      <c r="AA163" s="1" t="s">
        <v>1834</v>
      </c>
      <c r="AB163" s="1" t="s">
        <v>1835</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74</v>
      </c>
      <c r="AP163" s="1" t="s">
        <v>74</v>
      </c>
      <c r="AQ163" s="1" t="s">
        <v>1836</v>
      </c>
      <c r="AR163" s="1" t="s">
        <v>74</v>
      </c>
      <c r="AS163" s="1" t="s">
        <v>74</v>
      </c>
      <c r="AT163" s="1" t="s">
        <v>74</v>
      </c>
      <c r="AU163" s="1">
        <v>2022.0</v>
      </c>
      <c r="AV163" s="1" t="s">
        <v>74</v>
      </c>
      <c r="AW163" s="1" t="s">
        <v>74</v>
      </c>
      <c r="AX163" s="1" t="s">
        <v>74</v>
      </c>
      <c r="AY163" s="1" t="s">
        <v>74</v>
      </c>
      <c r="AZ163" s="1" t="s">
        <v>74</v>
      </c>
      <c r="BA163" s="1" t="s">
        <v>74</v>
      </c>
      <c r="BB163" s="1">
        <v>795.0</v>
      </c>
      <c r="BC163" s="1">
        <v>800.0</v>
      </c>
      <c r="BD163" s="1" t="s">
        <v>74</v>
      </c>
      <c r="BE163" s="1" t="s">
        <v>1837</v>
      </c>
      <c r="BF163" s="2" t="str">
        <f>HYPERLINK("http://dx.doi.org/10.1109/CSNDSP54353.2022.9907912","http://dx.doi.org/10.1109/CSNDSP54353.2022.9907912")</f>
        <v>http://dx.doi.org/10.1109/CSNDSP54353.2022.9907912</v>
      </c>
      <c r="BG163" s="1" t="s">
        <v>74</v>
      </c>
      <c r="BH163" s="1" t="s">
        <v>74</v>
      </c>
      <c r="BI163" s="1" t="s">
        <v>74</v>
      </c>
      <c r="BJ163" s="1" t="s">
        <v>74</v>
      </c>
      <c r="BK163" s="1" t="s">
        <v>74</v>
      </c>
      <c r="BL163" s="1" t="s">
        <v>74</v>
      </c>
      <c r="BM163" s="1" t="s">
        <v>74</v>
      </c>
      <c r="BN163" s="1" t="s">
        <v>74</v>
      </c>
      <c r="BO163" s="1" t="s">
        <v>74</v>
      </c>
      <c r="BP163" s="1" t="s">
        <v>74</v>
      </c>
      <c r="BQ163" s="1" t="s">
        <v>74</v>
      </c>
      <c r="BR163" s="1" t="s">
        <v>74</v>
      </c>
      <c r="BS163" s="1" t="s">
        <v>1838</v>
      </c>
      <c r="BT163" s="1" t="str">
        <f>HYPERLINK("https%3A%2F%2Fwww.webofscience.com%2Fwos%2Fwoscc%2Ffull-record%2FWOS:001331792600151","View Full Record in Web of Science")</f>
        <v>View Full Record in Web of Science</v>
      </c>
    </row>
    <row r="164" ht="12.75" customHeight="1">
      <c r="A164" s="1" t="s">
        <v>72</v>
      </c>
      <c r="B164" s="1" t="s">
        <v>1839</v>
      </c>
      <c r="C164" s="1" t="s">
        <v>74</v>
      </c>
      <c r="D164" s="1" t="s">
        <v>74</v>
      </c>
      <c r="E164" s="1" t="s">
        <v>74</v>
      </c>
      <c r="F164" s="1" t="s">
        <v>1840</v>
      </c>
      <c r="G164" s="1" t="s">
        <v>74</v>
      </c>
      <c r="H164" s="1" t="s">
        <v>74</v>
      </c>
      <c r="I164" s="1" t="s">
        <v>1841</v>
      </c>
      <c r="J164" s="1" t="s">
        <v>1842</v>
      </c>
      <c r="K164" s="1" t="s">
        <v>74</v>
      </c>
      <c r="L164" s="1" t="s">
        <v>74</v>
      </c>
      <c r="M164" s="1" t="s">
        <v>74</v>
      </c>
      <c r="N164" s="1" t="s">
        <v>74</v>
      </c>
      <c r="O164" s="1" t="s">
        <v>74</v>
      </c>
      <c r="P164" s="1" t="s">
        <v>74</v>
      </c>
      <c r="Q164" s="1" t="s">
        <v>74</v>
      </c>
      <c r="R164" s="1" t="s">
        <v>74</v>
      </c>
      <c r="S164" s="1" t="s">
        <v>74</v>
      </c>
      <c r="T164" s="1" t="s">
        <v>74</v>
      </c>
      <c r="U164" s="1" t="s">
        <v>74</v>
      </c>
      <c r="V164" s="1" t="s">
        <v>1843</v>
      </c>
      <c r="W164" s="1" t="s">
        <v>74</v>
      </c>
      <c r="X164" s="1" t="s">
        <v>74</v>
      </c>
      <c r="Y164" s="1" t="s">
        <v>74</v>
      </c>
      <c r="Z164" s="1" t="s">
        <v>74</v>
      </c>
      <c r="AA164" s="1" t="s">
        <v>1844</v>
      </c>
      <c r="AB164" s="1" t="s">
        <v>1845</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1846</v>
      </c>
      <c r="AP164" s="1" t="s">
        <v>74</v>
      </c>
      <c r="AQ164" s="1" t="s">
        <v>74</v>
      </c>
      <c r="AR164" s="1" t="s">
        <v>74</v>
      </c>
      <c r="AS164" s="1" t="s">
        <v>74</v>
      </c>
      <c r="AT164" s="1" t="s">
        <v>855</v>
      </c>
      <c r="AU164" s="1">
        <v>2021.0</v>
      </c>
      <c r="AV164" s="1">
        <v>9.0</v>
      </c>
      <c r="AW164" s="1" t="s">
        <v>74</v>
      </c>
      <c r="AX164" s="1" t="s">
        <v>74</v>
      </c>
      <c r="AY164" s="1" t="s">
        <v>74</v>
      </c>
      <c r="AZ164" s="1" t="s">
        <v>74</v>
      </c>
      <c r="BA164" s="1" t="s">
        <v>74</v>
      </c>
      <c r="BB164" s="1" t="s">
        <v>74</v>
      </c>
      <c r="BC164" s="1" t="s">
        <v>74</v>
      </c>
      <c r="BD164" s="1">
        <v>645074.0</v>
      </c>
      <c r="BE164" s="1" t="s">
        <v>1847</v>
      </c>
      <c r="BF164" s="2" t="str">
        <f>HYPERLINK("http://dx.doi.org/10.3389/fped.2021.645074","http://dx.doi.org/10.3389/fped.2021.645074")</f>
        <v>http://dx.doi.org/10.3389/fped.2021.645074</v>
      </c>
      <c r="BG164" s="1" t="s">
        <v>74</v>
      </c>
      <c r="BH164" s="1" t="s">
        <v>74</v>
      </c>
      <c r="BI164" s="1" t="s">
        <v>74</v>
      </c>
      <c r="BJ164" s="1" t="s">
        <v>74</v>
      </c>
      <c r="BK164" s="1" t="s">
        <v>74</v>
      </c>
      <c r="BL164" s="1" t="s">
        <v>74</v>
      </c>
      <c r="BM164" s="1" t="s">
        <v>74</v>
      </c>
      <c r="BN164" s="1">
        <v>3.4113585E7</v>
      </c>
      <c r="BO164" s="1" t="s">
        <v>74</v>
      </c>
      <c r="BP164" s="1" t="s">
        <v>74</v>
      </c>
      <c r="BQ164" s="1" t="s">
        <v>74</v>
      </c>
      <c r="BR164" s="1" t="s">
        <v>74</v>
      </c>
      <c r="BS164" s="1" t="s">
        <v>1848</v>
      </c>
      <c r="BT164" s="1" t="str">
        <f>HYPERLINK("https%3A%2F%2Fwww.webofscience.com%2Fwos%2Fwoscc%2Ffull-record%2FWOS:000658495900001","View Full Record in Web of Science")</f>
        <v>View Full Record in Web of Science</v>
      </c>
    </row>
    <row r="165" ht="12.75" customHeight="1">
      <c r="A165" s="1" t="s">
        <v>72</v>
      </c>
      <c r="B165" s="1" t="s">
        <v>1223</v>
      </c>
      <c r="C165" s="1" t="s">
        <v>74</v>
      </c>
      <c r="D165" s="1" t="s">
        <v>74</v>
      </c>
      <c r="E165" s="1" t="s">
        <v>74</v>
      </c>
      <c r="F165" s="1" t="s">
        <v>1224</v>
      </c>
      <c r="G165" s="1" t="s">
        <v>74</v>
      </c>
      <c r="H165" s="1" t="s">
        <v>74</v>
      </c>
      <c r="I165" s="1" t="s">
        <v>1849</v>
      </c>
      <c r="J165" s="1" t="s">
        <v>1226</v>
      </c>
      <c r="K165" s="1" t="s">
        <v>74</v>
      </c>
      <c r="L165" s="1" t="s">
        <v>74</v>
      </c>
      <c r="M165" s="1" t="s">
        <v>74</v>
      </c>
      <c r="N165" s="1" t="s">
        <v>74</v>
      </c>
      <c r="O165" s="1" t="s">
        <v>74</v>
      </c>
      <c r="P165" s="1" t="s">
        <v>74</v>
      </c>
      <c r="Q165" s="1" t="s">
        <v>74</v>
      </c>
      <c r="R165" s="1" t="s">
        <v>74</v>
      </c>
      <c r="S165" s="1" t="s">
        <v>74</v>
      </c>
      <c r="T165" s="1" t="s">
        <v>74</v>
      </c>
      <c r="U165" s="1" t="s">
        <v>74</v>
      </c>
      <c r="V165" s="1" t="s">
        <v>1850</v>
      </c>
      <c r="W165" s="1" t="s">
        <v>74</v>
      </c>
      <c r="X165" s="1" t="s">
        <v>74</v>
      </c>
      <c r="Y165" s="1" t="s">
        <v>74</v>
      </c>
      <c r="Z165" s="1" t="s">
        <v>74</v>
      </c>
      <c r="AA165" s="1" t="s">
        <v>1851</v>
      </c>
      <c r="AB165" s="1" t="s">
        <v>1852</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1228</v>
      </c>
      <c r="AP165" s="1" t="s">
        <v>1229</v>
      </c>
      <c r="AQ165" s="1" t="s">
        <v>74</v>
      </c>
      <c r="AR165" s="1" t="s">
        <v>74</v>
      </c>
      <c r="AS165" s="1" t="s">
        <v>74</v>
      </c>
      <c r="AT165" s="1" t="s">
        <v>1853</v>
      </c>
      <c r="AU165" s="1">
        <v>2021.0</v>
      </c>
      <c r="AV165" s="1">
        <v>647.0</v>
      </c>
      <c r="AW165" s="1" t="s">
        <v>74</v>
      </c>
      <c r="AX165" s="1" t="s">
        <v>74</v>
      </c>
      <c r="AY165" s="1" t="s">
        <v>74</v>
      </c>
      <c r="AZ165" s="1" t="s">
        <v>74</v>
      </c>
      <c r="BA165" s="1" t="s">
        <v>74</v>
      </c>
      <c r="BB165" s="1" t="s">
        <v>74</v>
      </c>
      <c r="BC165" s="1" t="s">
        <v>74</v>
      </c>
      <c r="BD165" s="1" t="s">
        <v>1854</v>
      </c>
      <c r="BE165" s="1" t="s">
        <v>1855</v>
      </c>
      <c r="BF165" s="2" t="str">
        <f>HYPERLINK("http://dx.doi.org/10.1051/0004-6361/202039044","http://dx.doi.org/10.1051/0004-6361/202039044")</f>
        <v>http://dx.doi.org/10.1051/0004-6361/202039044</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1856</v>
      </c>
      <c r="BT165" s="1" t="str">
        <f>HYPERLINK("https%3A%2F%2Fwww.webofscience.com%2Fwos%2Fwoscc%2Ffull-record%2FWOS:000625168700001","View Full Record in Web of Science")</f>
        <v>View Full Record in Web of Science</v>
      </c>
    </row>
    <row r="166" ht="12.75" customHeight="1">
      <c r="A166" s="1" t="s">
        <v>72</v>
      </c>
      <c r="B166" s="1" t="s">
        <v>1857</v>
      </c>
      <c r="C166" s="1" t="s">
        <v>74</v>
      </c>
      <c r="D166" s="1" t="s">
        <v>74</v>
      </c>
      <c r="E166" s="1" t="s">
        <v>74</v>
      </c>
      <c r="F166" s="1" t="s">
        <v>1858</v>
      </c>
      <c r="G166" s="1" t="s">
        <v>74</v>
      </c>
      <c r="H166" s="1" t="s">
        <v>74</v>
      </c>
      <c r="I166" s="1" t="s">
        <v>1859</v>
      </c>
      <c r="J166" s="1" t="s">
        <v>1860</v>
      </c>
      <c r="K166" s="1" t="s">
        <v>74</v>
      </c>
      <c r="L166" s="1" t="s">
        <v>74</v>
      </c>
      <c r="M166" s="1" t="s">
        <v>74</v>
      </c>
      <c r="N166" s="1" t="s">
        <v>74</v>
      </c>
      <c r="O166" s="1" t="s">
        <v>74</v>
      </c>
      <c r="P166" s="1" t="s">
        <v>74</v>
      </c>
      <c r="Q166" s="1" t="s">
        <v>74</v>
      </c>
      <c r="R166" s="1" t="s">
        <v>74</v>
      </c>
      <c r="S166" s="1" t="s">
        <v>74</v>
      </c>
      <c r="T166" s="1" t="s">
        <v>74</v>
      </c>
      <c r="U166" s="1" t="s">
        <v>74</v>
      </c>
      <c r="V166" s="1" t="s">
        <v>1861</v>
      </c>
      <c r="W166" s="1" t="s">
        <v>74</v>
      </c>
      <c r="X166" s="1" t="s">
        <v>74</v>
      </c>
      <c r="Y166" s="1" t="s">
        <v>74</v>
      </c>
      <c r="Z166" s="1" t="s">
        <v>74</v>
      </c>
      <c r="AA166" s="1" t="s">
        <v>1862</v>
      </c>
      <c r="AB166" s="1" t="s">
        <v>1863</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1864</v>
      </c>
      <c r="AP166" s="1" t="s">
        <v>1865</v>
      </c>
      <c r="AQ166" s="1" t="s">
        <v>74</v>
      </c>
      <c r="AR166" s="1" t="s">
        <v>74</v>
      </c>
      <c r="AS166" s="1" t="s">
        <v>74</v>
      </c>
      <c r="AT166" s="1" t="s">
        <v>346</v>
      </c>
      <c r="AU166" s="1">
        <v>2021.0</v>
      </c>
      <c r="AV166" s="1">
        <v>382.0</v>
      </c>
      <c r="AW166" s="1">
        <v>2.0</v>
      </c>
      <c r="AX166" s="1" t="s">
        <v>74</v>
      </c>
      <c r="AY166" s="1" t="s">
        <v>74</v>
      </c>
      <c r="AZ166" s="1" t="s">
        <v>74</v>
      </c>
      <c r="BA166" s="1" t="s">
        <v>74</v>
      </c>
      <c r="BB166" s="1">
        <v>1111.0</v>
      </c>
      <c r="BC166" s="1">
        <v>1164.0</v>
      </c>
      <c r="BD166" s="1" t="s">
        <v>74</v>
      </c>
      <c r="BE166" s="1" t="s">
        <v>1866</v>
      </c>
      <c r="BF166" s="2" t="str">
        <f>HYPERLINK("http://dx.doi.org/10.1007/s00220-021-03979-2","http://dx.doi.org/10.1007/s00220-021-03979-2")</f>
        <v>http://dx.doi.org/10.1007/s00220-021-03979-2</v>
      </c>
      <c r="BG166" s="1" t="s">
        <v>74</v>
      </c>
      <c r="BH166" s="1" t="s">
        <v>1867</v>
      </c>
      <c r="BI166" s="1" t="s">
        <v>74</v>
      </c>
      <c r="BJ166" s="1" t="s">
        <v>74</v>
      </c>
      <c r="BK166" s="1" t="s">
        <v>74</v>
      </c>
      <c r="BL166" s="1" t="s">
        <v>74</v>
      </c>
      <c r="BM166" s="1" t="s">
        <v>74</v>
      </c>
      <c r="BN166" s="1" t="s">
        <v>74</v>
      </c>
      <c r="BO166" s="1" t="s">
        <v>74</v>
      </c>
      <c r="BP166" s="1" t="s">
        <v>74</v>
      </c>
      <c r="BQ166" s="1" t="s">
        <v>74</v>
      </c>
      <c r="BR166" s="1" t="s">
        <v>74</v>
      </c>
      <c r="BS166" s="1" t="s">
        <v>1868</v>
      </c>
      <c r="BT166" s="1" t="str">
        <f>HYPERLINK("https%3A%2F%2Fwww.webofscience.com%2Fwos%2Fwoscc%2Ffull-record%2FWOS:000617094800001","View Full Record in Web of Science")</f>
        <v>View Full Record in Web of Science</v>
      </c>
    </row>
    <row r="167" ht="12.75" customHeight="1">
      <c r="A167" s="1" t="s">
        <v>72</v>
      </c>
      <c r="B167" s="1" t="s">
        <v>1869</v>
      </c>
      <c r="C167" s="1" t="s">
        <v>74</v>
      </c>
      <c r="D167" s="1" t="s">
        <v>74</v>
      </c>
      <c r="E167" s="1" t="s">
        <v>74</v>
      </c>
      <c r="F167" s="1" t="s">
        <v>1870</v>
      </c>
      <c r="G167" s="1" t="s">
        <v>74</v>
      </c>
      <c r="H167" s="1" t="s">
        <v>74</v>
      </c>
      <c r="I167" s="1" t="s">
        <v>1871</v>
      </c>
      <c r="J167" s="1" t="s">
        <v>1872</v>
      </c>
      <c r="K167" s="1" t="s">
        <v>74</v>
      </c>
      <c r="L167" s="1" t="s">
        <v>74</v>
      </c>
      <c r="M167" s="1" t="s">
        <v>74</v>
      </c>
      <c r="N167" s="1" t="s">
        <v>74</v>
      </c>
      <c r="O167" s="1" t="s">
        <v>74</v>
      </c>
      <c r="P167" s="1" t="s">
        <v>74</v>
      </c>
      <c r="Q167" s="1" t="s">
        <v>74</v>
      </c>
      <c r="R167" s="1" t="s">
        <v>74</v>
      </c>
      <c r="S167" s="1" t="s">
        <v>74</v>
      </c>
      <c r="T167" s="1" t="s">
        <v>74</v>
      </c>
      <c r="U167" s="1" t="s">
        <v>74</v>
      </c>
      <c r="V167" s="1" t="s">
        <v>74</v>
      </c>
      <c r="W167" s="1" t="s">
        <v>74</v>
      </c>
      <c r="X167" s="1" t="s">
        <v>74</v>
      </c>
      <c r="Y167" s="1" t="s">
        <v>74</v>
      </c>
      <c r="Z167" s="1" t="s">
        <v>74</v>
      </c>
      <c r="AA167" s="1" t="s">
        <v>1873</v>
      </c>
      <c r="AB167" s="1" t="s">
        <v>1874</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1875</v>
      </c>
      <c r="AP167" s="1" t="s">
        <v>1876</v>
      </c>
      <c r="AQ167" s="1" t="s">
        <v>74</v>
      </c>
      <c r="AR167" s="1" t="s">
        <v>74</v>
      </c>
      <c r="AS167" s="1" t="s">
        <v>74</v>
      </c>
      <c r="AT167" s="1" t="s">
        <v>447</v>
      </c>
      <c r="AU167" s="1">
        <v>2019.0</v>
      </c>
      <c r="AV167" s="1">
        <v>53.0</v>
      </c>
      <c r="AW167" s="1">
        <v>16.0</v>
      </c>
      <c r="AX167" s="1" t="s">
        <v>74</v>
      </c>
      <c r="AY167" s="1" t="s">
        <v>74</v>
      </c>
      <c r="AZ167" s="1" t="s">
        <v>74</v>
      </c>
      <c r="BA167" s="1" t="s">
        <v>74</v>
      </c>
      <c r="BB167" s="1">
        <v>1045.0</v>
      </c>
      <c r="BC167" s="1">
        <v>1046.0</v>
      </c>
      <c r="BD167" s="1" t="s">
        <v>74</v>
      </c>
      <c r="BE167" s="1" t="s">
        <v>1877</v>
      </c>
      <c r="BF167" s="2" t="str">
        <f>HYPERLINK("http://dx.doi.org/10.1136/bjsports-2018-099416","http://dx.doi.org/10.1136/bjsports-2018-099416")</f>
        <v>http://dx.doi.org/10.1136/bjsports-2018-099416</v>
      </c>
      <c r="BG167" s="1" t="s">
        <v>74</v>
      </c>
      <c r="BH167" s="1" t="s">
        <v>74</v>
      </c>
      <c r="BI167" s="1" t="s">
        <v>74</v>
      </c>
      <c r="BJ167" s="1" t="s">
        <v>74</v>
      </c>
      <c r="BK167" s="1" t="s">
        <v>74</v>
      </c>
      <c r="BL167" s="1" t="s">
        <v>74</v>
      </c>
      <c r="BM167" s="1" t="s">
        <v>74</v>
      </c>
      <c r="BN167" s="1">
        <v>2.9678892E7</v>
      </c>
      <c r="BO167" s="1" t="s">
        <v>74</v>
      </c>
      <c r="BP167" s="1" t="s">
        <v>74</v>
      </c>
      <c r="BQ167" s="1" t="s">
        <v>74</v>
      </c>
      <c r="BR167" s="1" t="s">
        <v>74</v>
      </c>
      <c r="BS167" s="1" t="s">
        <v>1878</v>
      </c>
      <c r="BT167" s="1" t="str">
        <f>HYPERLINK("https%3A%2F%2Fwww.webofscience.com%2Fwos%2Fwoscc%2Ffull-record%2FWOS:000482510800019","View Full Record in Web of Science")</f>
        <v>View Full Record in Web of Science</v>
      </c>
    </row>
    <row r="168" ht="12.75" customHeight="1">
      <c r="A168" s="1" t="s">
        <v>72</v>
      </c>
      <c r="B168" s="1" t="s">
        <v>1879</v>
      </c>
      <c r="C168" s="1" t="s">
        <v>74</v>
      </c>
      <c r="D168" s="1" t="s">
        <v>74</v>
      </c>
      <c r="E168" s="1" t="s">
        <v>74</v>
      </c>
      <c r="F168" s="1" t="s">
        <v>1880</v>
      </c>
      <c r="G168" s="1" t="s">
        <v>74</v>
      </c>
      <c r="H168" s="1" t="s">
        <v>74</v>
      </c>
      <c r="I168" s="1" t="s">
        <v>1881</v>
      </c>
      <c r="J168" s="1" t="s">
        <v>1882</v>
      </c>
      <c r="K168" s="1" t="s">
        <v>74</v>
      </c>
      <c r="L168" s="1" t="s">
        <v>74</v>
      </c>
      <c r="M168" s="1" t="s">
        <v>74</v>
      </c>
      <c r="N168" s="1" t="s">
        <v>74</v>
      </c>
      <c r="O168" s="1" t="s">
        <v>74</v>
      </c>
      <c r="P168" s="1" t="s">
        <v>74</v>
      </c>
      <c r="Q168" s="1" t="s">
        <v>74</v>
      </c>
      <c r="R168" s="1" t="s">
        <v>74</v>
      </c>
      <c r="S168" s="1" t="s">
        <v>74</v>
      </c>
      <c r="T168" s="1" t="s">
        <v>74</v>
      </c>
      <c r="U168" s="1" t="s">
        <v>74</v>
      </c>
      <c r="V168" s="1" t="s">
        <v>1883</v>
      </c>
      <c r="W168" s="1" t="s">
        <v>74</v>
      </c>
      <c r="X168" s="1" t="s">
        <v>74</v>
      </c>
      <c r="Y168" s="1" t="s">
        <v>74</v>
      </c>
      <c r="Z168" s="1" t="s">
        <v>74</v>
      </c>
      <c r="AA168" s="1" t="s">
        <v>1884</v>
      </c>
      <c r="AB168" s="1" t="s">
        <v>1885</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1886</v>
      </c>
      <c r="AP168" s="1" t="s">
        <v>1887</v>
      </c>
      <c r="AQ168" s="1" t="s">
        <v>74</v>
      </c>
      <c r="AR168" s="1" t="s">
        <v>74</v>
      </c>
      <c r="AS168" s="1" t="s">
        <v>74</v>
      </c>
      <c r="AT168" s="1" t="s">
        <v>239</v>
      </c>
      <c r="AU168" s="1">
        <v>2008.0</v>
      </c>
      <c r="AV168" s="1">
        <v>7.0</v>
      </c>
      <c r="AW168" s="1">
        <v>5.0</v>
      </c>
      <c r="AX168" s="1" t="s">
        <v>74</v>
      </c>
      <c r="AY168" s="1" t="s">
        <v>74</v>
      </c>
      <c r="AZ168" s="1" t="s">
        <v>74</v>
      </c>
      <c r="BA168" s="1" t="s">
        <v>74</v>
      </c>
      <c r="BB168" s="1">
        <v>386.0</v>
      </c>
      <c r="BC168" s="1">
        <v>390.0</v>
      </c>
      <c r="BD168" s="1" t="s">
        <v>74</v>
      </c>
      <c r="BE168" s="1" t="s">
        <v>1888</v>
      </c>
      <c r="BF168" s="2" t="str">
        <f>HYPERLINK("http://dx.doi.org/10.1038/nmat2161","http://dx.doi.org/10.1038/nmat2161")</f>
        <v>http://dx.doi.org/10.1038/nmat2161</v>
      </c>
      <c r="BG168" s="1" t="s">
        <v>74</v>
      </c>
      <c r="BH168" s="1" t="s">
        <v>74</v>
      </c>
      <c r="BI168" s="1" t="s">
        <v>74</v>
      </c>
      <c r="BJ168" s="1" t="s">
        <v>74</v>
      </c>
      <c r="BK168" s="1" t="s">
        <v>74</v>
      </c>
      <c r="BL168" s="1" t="s">
        <v>74</v>
      </c>
      <c r="BM168" s="1" t="s">
        <v>74</v>
      </c>
      <c r="BN168" s="1">
        <v>1.8376397E7</v>
      </c>
      <c r="BO168" s="1" t="s">
        <v>74</v>
      </c>
      <c r="BP168" s="1" t="s">
        <v>74</v>
      </c>
      <c r="BQ168" s="1" t="s">
        <v>74</v>
      </c>
      <c r="BR168" s="1" t="s">
        <v>74</v>
      </c>
      <c r="BS168" s="1" t="s">
        <v>1889</v>
      </c>
      <c r="BT168" s="1" t="str">
        <f>HYPERLINK("https%3A%2F%2Fwww.webofscience.com%2Fwos%2Fwoscc%2Ffull-record%2FWOS:000255257600020","View Full Record in Web of Science")</f>
        <v>View Full Record in Web of Science</v>
      </c>
    </row>
    <row r="169" ht="12.75" customHeight="1">
      <c r="A169" s="1" t="s">
        <v>72</v>
      </c>
      <c r="B169" s="1" t="s">
        <v>1890</v>
      </c>
      <c r="C169" s="1" t="s">
        <v>74</v>
      </c>
      <c r="D169" s="1" t="s">
        <v>74</v>
      </c>
      <c r="E169" s="1" t="s">
        <v>74</v>
      </c>
      <c r="F169" s="1" t="s">
        <v>1891</v>
      </c>
      <c r="G169" s="1" t="s">
        <v>74</v>
      </c>
      <c r="H169" s="1" t="s">
        <v>74</v>
      </c>
      <c r="I169" s="1" t="s">
        <v>1892</v>
      </c>
      <c r="J169" s="1" t="s">
        <v>1893</v>
      </c>
      <c r="K169" s="1" t="s">
        <v>74</v>
      </c>
      <c r="L169" s="1" t="s">
        <v>74</v>
      </c>
      <c r="M169" s="1" t="s">
        <v>74</v>
      </c>
      <c r="N169" s="1" t="s">
        <v>74</v>
      </c>
      <c r="O169" s="1" t="s">
        <v>74</v>
      </c>
      <c r="P169" s="1" t="s">
        <v>74</v>
      </c>
      <c r="Q169" s="1" t="s">
        <v>74</v>
      </c>
      <c r="R169" s="1" t="s">
        <v>74</v>
      </c>
      <c r="S169" s="1" t="s">
        <v>74</v>
      </c>
      <c r="T169" s="1" t="s">
        <v>74</v>
      </c>
      <c r="U169" s="1" t="s">
        <v>74</v>
      </c>
      <c r="V169" s="1" t="s">
        <v>1894</v>
      </c>
      <c r="W169" s="1" t="s">
        <v>74</v>
      </c>
      <c r="X169" s="1" t="s">
        <v>74</v>
      </c>
      <c r="Y169" s="1" t="s">
        <v>74</v>
      </c>
      <c r="Z169" s="1" t="s">
        <v>74</v>
      </c>
      <c r="AA169" s="1" t="s">
        <v>1895</v>
      </c>
      <c r="AB169" s="1" t="s">
        <v>1896</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1897</v>
      </c>
      <c r="AP169" s="1" t="s">
        <v>74</v>
      </c>
      <c r="AQ169" s="1" t="s">
        <v>74</v>
      </c>
      <c r="AR169" s="1" t="s">
        <v>74</v>
      </c>
      <c r="AS169" s="1" t="s">
        <v>74</v>
      </c>
      <c r="AT169" s="1" t="s">
        <v>74</v>
      </c>
      <c r="AU169" s="1">
        <v>2023.0</v>
      </c>
      <c r="AV169" s="1">
        <v>21.0</v>
      </c>
      <c r="AW169" s="1" t="s">
        <v>74</v>
      </c>
      <c r="AX169" s="1" t="s">
        <v>74</v>
      </c>
      <c r="AY169" s="1" t="s">
        <v>74</v>
      </c>
      <c r="AZ169" s="1" t="s">
        <v>74</v>
      </c>
      <c r="BA169" s="1" t="s">
        <v>74</v>
      </c>
      <c r="BB169" s="1">
        <v>2558.0</v>
      </c>
      <c r="BC169" s="1">
        <v>2578.0</v>
      </c>
      <c r="BD169" s="1" t="s">
        <v>74</v>
      </c>
      <c r="BE169" s="1" t="s">
        <v>1898</v>
      </c>
      <c r="BF169" s="2" t="str">
        <f>HYPERLINK("http://dx.doi.org/10.1016/j.csbj.2023.03.050","http://dx.doi.org/10.1016/j.csbj.2023.03.050")</f>
        <v>http://dx.doi.org/10.1016/j.csbj.2023.03.050</v>
      </c>
      <c r="BG169" s="1" t="s">
        <v>74</v>
      </c>
      <c r="BH169" s="1" t="s">
        <v>1899</v>
      </c>
      <c r="BI169" s="1" t="s">
        <v>74</v>
      </c>
      <c r="BJ169" s="1" t="s">
        <v>74</v>
      </c>
      <c r="BK169" s="1" t="s">
        <v>74</v>
      </c>
      <c r="BL169" s="1" t="s">
        <v>74</v>
      </c>
      <c r="BM169" s="1" t="s">
        <v>74</v>
      </c>
      <c r="BN169" s="1">
        <v>3.7122632E7</v>
      </c>
      <c r="BO169" s="1" t="s">
        <v>74</v>
      </c>
      <c r="BP169" s="1" t="s">
        <v>74</v>
      </c>
      <c r="BQ169" s="1" t="s">
        <v>74</v>
      </c>
      <c r="BR169" s="1" t="s">
        <v>74</v>
      </c>
      <c r="BS169" s="1" t="s">
        <v>1900</v>
      </c>
      <c r="BT169" s="1" t="str">
        <f>HYPERLINK("https%3A%2F%2Fwww.webofscience.com%2Fwos%2Fwoscc%2Ffull-record%2FWOS:000982616500001","View Full Record in Web of Science")</f>
        <v>View Full Record in Web of Science</v>
      </c>
    </row>
    <row r="170" ht="12.75" customHeight="1">
      <c r="A170" s="1" t="s">
        <v>72</v>
      </c>
      <c r="B170" s="1" t="s">
        <v>1901</v>
      </c>
      <c r="C170" s="1" t="s">
        <v>74</v>
      </c>
      <c r="D170" s="1" t="s">
        <v>74</v>
      </c>
      <c r="E170" s="1" t="s">
        <v>74</v>
      </c>
      <c r="F170" s="1" t="s">
        <v>1902</v>
      </c>
      <c r="G170" s="1" t="s">
        <v>74</v>
      </c>
      <c r="H170" s="1" t="s">
        <v>74</v>
      </c>
      <c r="I170" s="1" t="s">
        <v>1903</v>
      </c>
      <c r="J170" s="1" t="s">
        <v>1904</v>
      </c>
      <c r="K170" s="1" t="s">
        <v>74</v>
      </c>
      <c r="L170" s="1" t="s">
        <v>74</v>
      </c>
      <c r="M170" s="1" t="s">
        <v>74</v>
      </c>
      <c r="N170" s="1" t="s">
        <v>74</v>
      </c>
      <c r="O170" s="1" t="s">
        <v>74</v>
      </c>
      <c r="P170" s="1" t="s">
        <v>74</v>
      </c>
      <c r="Q170" s="1" t="s">
        <v>74</v>
      </c>
      <c r="R170" s="1" t="s">
        <v>74</v>
      </c>
      <c r="S170" s="1" t="s">
        <v>74</v>
      </c>
      <c r="T170" s="1" t="s">
        <v>74</v>
      </c>
      <c r="U170" s="1" t="s">
        <v>74</v>
      </c>
      <c r="V170" s="1" t="s">
        <v>1905</v>
      </c>
      <c r="W170" s="1" t="s">
        <v>74</v>
      </c>
      <c r="X170" s="1" t="s">
        <v>74</v>
      </c>
      <c r="Y170" s="1" t="s">
        <v>74</v>
      </c>
      <c r="Z170" s="1" t="s">
        <v>74</v>
      </c>
      <c r="AA170" s="1" t="s">
        <v>1906</v>
      </c>
      <c r="AB170" s="1" t="s">
        <v>1907</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1908</v>
      </c>
      <c r="AP170" s="1" t="s">
        <v>1909</v>
      </c>
      <c r="AQ170" s="1" t="s">
        <v>74</v>
      </c>
      <c r="AR170" s="1" t="s">
        <v>74</v>
      </c>
      <c r="AS170" s="1" t="s">
        <v>74</v>
      </c>
      <c r="AT170" s="1" t="s">
        <v>130</v>
      </c>
      <c r="AU170" s="1">
        <v>2022.0</v>
      </c>
      <c r="AV170" s="1">
        <v>169.0</v>
      </c>
      <c r="AW170" s="1" t="s">
        <v>74</v>
      </c>
      <c r="AX170" s="1" t="s">
        <v>74</v>
      </c>
      <c r="AY170" s="1" t="s">
        <v>74</v>
      </c>
      <c r="AZ170" s="1" t="s">
        <v>74</v>
      </c>
      <c r="BA170" s="1" t="s">
        <v>74</v>
      </c>
      <c r="BB170" s="1" t="s">
        <v>74</v>
      </c>
      <c r="BC170" s="1" t="s">
        <v>74</v>
      </c>
      <c r="BD170" s="1">
        <v>106092.0</v>
      </c>
      <c r="BE170" s="1" t="s">
        <v>1910</v>
      </c>
      <c r="BF170" s="2" t="str">
        <f>HYPERLINK("http://dx.doi.org/10.1016/j.ejps.2021.106092","http://dx.doi.org/10.1016/j.ejps.2021.106092")</f>
        <v>http://dx.doi.org/10.1016/j.ejps.2021.106092</v>
      </c>
      <c r="BG170" s="1" t="s">
        <v>74</v>
      </c>
      <c r="BH170" s="1" t="s">
        <v>74</v>
      </c>
      <c r="BI170" s="1" t="s">
        <v>74</v>
      </c>
      <c r="BJ170" s="1" t="s">
        <v>74</v>
      </c>
      <c r="BK170" s="1" t="s">
        <v>74</v>
      </c>
      <c r="BL170" s="1" t="s">
        <v>74</v>
      </c>
      <c r="BM170" s="1" t="s">
        <v>74</v>
      </c>
      <c r="BN170" s="1">
        <v>3.4879254E7</v>
      </c>
      <c r="BO170" s="1" t="s">
        <v>74</v>
      </c>
      <c r="BP170" s="1" t="s">
        <v>74</v>
      </c>
      <c r="BQ170" s="1" t="s">
        <v>74</v>
      </c>
      <c r="BR170" s="1" t="s">
        <v>74</v>
      </c>
      <c r="BS170" s="1" t="s">
        <v>1911</v>
      </c>
      <c r="BT170" s="1" t="str">
        <f>HYPERLINK("https%3A%2F%2Fwww.webofscience.com%2Fwos%2Fwoscc%2Ffull-record%2FWOS:000804547300005","View Full Record in Web of Science")</f>
        <v>View Full Record in Web of Science</v>
      </c>
    </row>
    <row r="171" ht="12.75" customHeight="1">
      <c r="A171" s="1" t="s">
        <v>72</v>
      </c>
      <c r="B171" s="1" t="s">
        <v>1912</v>
      </c>
      <c r="C171" s="1" t="s">
        <v>74</v>
      </c>
      <c r="D171" s="1" t="s">
        <v>74</v>
      </c>
      <c r="E171" s="1" t="s">
        <v>74</v>
      </c>
      <c r="F171" s="1" t="s">
        <v>1913</v>
      </c>
      <c r="G171" s="1" t="s">
        <v>74</v>
      </c>
      <c r="H171" s="1" t="s">
        <v>74</v>
      </c>
      <c r="I171" s="1" t="s">
        <v>1914</v>
      </c>
      <c r="J171" s="1" t="s">
        <v>1572</v>
      </c>
      <c r="K171" s="1" t="s">
        <v>74</v>
      </c>
      <c r="L171" s="1" t="s">
        <v>74</v>
      </c>
      <c r="M171" s="1" t="s">
        <v>74</v>
      </c>
      <c r="N171" s="1" t="s">
        <v>74</v>
      </c>
      <c r="O171" s="1" t="s">
        <v>74</v>
      </c>
      <c r="P171" s="1" t="s">
        <v>74</v>
      </c>
      <c r="Q171" s="1" t="s">
        <v>74</v>
      </c>
      <c r="R171" s="1" t="s">
        <v>74</v>
      </c>
      <c r="S171" s="1" t="s">
        <v>74</v>
      </c>
      <c r="T171" s="1" t="s">
        <v>74</v>
      </c>
      <c r="U171" s="1" t="s">
        <v>74</v>
      </c>
      <c r="V171" s="1" t="s">
        <v>74</v>
      </c>
      <c r="W171" s="1" t="s">
        <v>74</v>
      </c>
      <c r="X171" s="1" t="s">
        <v>74</v>
      </c>
      <c r="Y171" s="1" t="s">
        <v>74</v>
      </c>
      <c r="Z171" s="1" t="s">
        <v>74</v>
      </c>
      <c r="AA171" s="1" t="s">
        <v>1915</v>
      </c>
      <c r="AB171" s="1" t="s">
        <v>1916</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1576</v>
      </c>
      <c r="AP171" s="1" t="s">
        <v>1577</v>
      </c>
      <c r="AQ171" s="1" t="s">
        <v>74</v>
      </c>
      <c r="AR171" s="1" t="s">
        <v>74</v>
      </c>
      <c r="AS171" s="1" t="s">
        <v>74</v>
      </c>
      <c r="AT171" s="1" t="s">
        <v>264</v>
      </c>
      <c r="AU171" s="1">
        <v>2022.0</v>
      </c>
      <c r="AV171" s="1">
        <v>39.0</v>
      </c>
      <c r="AW171" s="1" t="s">
        <v>1917</v>
      </c>
      <c r="AX171" s="1" t="s">
        <v>74</v>
      </c>
      <c r="AY171" s="1" t="s">
        <v>74</v>
      </c>
      <c r="AZ171" s="1" t="s">
        <v>448</v>
      </c>
      <c r="BA171" s="1" t="s">
        <v>74</v>
      </c>
      <c r="BB171" s="1">
        <v>3.0</v>
      </c>
      <c r="BC171" s="1">
        <v>3.0</v>
      </c>
      <c r="BD171" s="1" t="s">
        <v>74</v>
      </c>
      <c r="BE171" s="1" t="s">
        <v>1918</v>
      </c>
      <c r="BF171" s="2" t="str">
        <f>HYPERLINK("http://dx.doi.org/10.1002/yea.3691","http://dx.doi.org/10.1002/yea.3691")</f>
        <v>http://dx.doi.org/10.1002/yea.3691</v>
      </c>
      <c r="BG171" s="1" t="s">
        <v>74</v>
      </c>
      <c r="BH171" s="1" t="s">
        <v>1519</v>
      </c>
      <c r="BI171" s="1" t="s">
        <v>74</v>
      </c>
      <c r="BJ171" s="1" t="s">
        <v>74</v>
      </c>
      <c r="BK171" s="1" t="s">
        <v>74</v>
      </c>
      <c r="BL171" s="1" t="s">
        <v>74</v>
      </c>
      <c r="BM171" s="1" t="s">
        <v>74</v>
      </c>
      <c r="BN171" s="1">
        <v>3.5040197E7</v>
      </c>
      <c r="BO171" s="1" t="s">
        <v>74</v>
      </c>
      <c r="BP171" s="1" t="s">
        <v>74</v>
      </c>
      <c r="BQ171" s="1" t="s">
        <v>74</v>
      </c>
      <c r="BR171" s="1" t="s">
        <v>74</v>
      </c>
      <c r="BS171" s="1" t="s">
        <v>1919</v>
      </c>
      <c r="BT171" s="1" t="str">
        <f>HYPERLINK("https%3A%2F%2Fwww.webofscience.com%2Fwos%2Fwoscc%2Ffull-record%2FWOS:000744338300001","View Full Record in Web of Science")</f>
        <v>View Full Record in Web of Science</v>
      </c>
    </row>
    <row r="172" ht="12.75" customHeight="1">
      <c r="A172" s="1" t="s">
        <v>72</v>
      </c>
      <c r="B172" s="1" t="s">
        <v>1920</v>
      </c>
      <c r="C172" s="1" t="s">
        <v>74</v>
      </c>
      <c r="D172" s="1" t="s">
        <v>74</v>
      </c>
      <c r="E172" s="1" t="s">
        <v>74</v>
      </c>
      <c r="F172" s="1" t="s">
        <v>1921</v>
      </c>
      <c r="G172" s="1" t="s">
        <v>74</v>
      </c>
      <c r="H172" s="1" t="s">
        <v>74</v>
      </c>
      <c r="I172" s="1" t="s">
        <v>1922</v>
      </c>
      <c r="J172" s="1" t="s">
        <v>1923</v>
      </c>
      <c r="K172" s="1" t="s">
        <v>74</v>
      </c>
      <c r="L172" s="1" t="s">
        <v>74</v>
      </c>
      <c r="M172" s="1" t="s">
        <v>74</v>
      </c>
      <c r="N172" s="1" t="s">
        <v>74</v>
      </c>
      <c r="O172" s="1" t="s">
        <v>74</v>
      </c>
      <c r="P172" s="1" t="s">
        <v>74</v>
      </c>
      <c r="Q172" s="1" t="s">
        <v>74</v>
      </c>
      <c r="R172" s="1" t="s">
        <v>74</v>
      </c>
      <c r="S172" s="1" t="s">
        <v>74</v>
      </c>
      <c r="T172" s="1" t="s">
        <v>74</v>
      </c>
      <c r="U172" s="1" t="s">
        <v>74</v>
      </c>
      <c r="V172" s="1" t="s">
        <v>1924</v>
      </c>
      <c r="W172" s="1" t="s">
        <v>74</v>
      </c>
      <c r="X172" s="1" t="s">
        <v>74</v>
      </c>
      <c r="Y172" s="1" t="s">
        <v>74</v>
      </c>
      <c r="Z172" s="1" t="s">
        <v>74</v>
      </c>
      <c r="AA172" s="1" t="s">
        <v>1925</v>
      </c>
      <c r="AB172" s="1" t="s">
        <v>1926</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1927</v>
      </c>
      <c r="AP172" s="1" t="s">
        <v>1928</v>
      </c>
      <c r="AQ172" s="1" t="s">
        <v>74</v>
      </c>
      <c r="AR172" s="1" t="s">
        <v>74</v>
      </c>
      <c r="AS172" s="1" t="s">
        <v>74</v>
      </c>
      <c r="AT172" s="1" t="s">
        <v>745</v>
      </c>
      <c r="AU172" s="1">
        <v>2020.0</v>
      </c>
      <c r="AV172" s="1">
        <v>30.0</v>
      </c>
      <c r="AW172" s="1">
        <v>7.0</v>
      </c>
      <c r="AX172" s="1" t="s">
        <v>74</v>
      </c>
      <c r="AY172" s="1" t="s">
        <v>74</v>
      </c>
      <c r="AZ172" s="1" t="s">
        <v>74</v>
      </c>
      <c r="BA172" s="1" t="s">
        <v>74</v>
      </c>
      <c r="BB172" s="1">
        <v>1188.0</v>
      </c>
      <c r="BC172" s="1">
        <v>1193.0</v>
      </c>
      <c r="BD172" s="1" t="s">
        <v>74</v>
      </c>
      <c r="BE172" s="1" t="s">
        <v>1929</v>
      </c>
      <c r="BF172" s="2" t="str">
        <f>HYPERLINK("http://dx.doi.org/10.1111/sms.13649","http://dx.doi.org/10.1111/sms.13649")</f>
        <v>http://dx.doi.org/10.1111/sms.13649</v>
      </c>
      <c r="BG172" s="1" t="s">
        <v>74</v>
      </c>
      <c r="BH172" s="1" t="s">
        <v>1930</v>
      </c>
      <c r="BI172" s="1" t="s">
        <v>74</v>
      </c>
      <c r="BJ172" s="1" t="s">
        <v>74</v>
      </c>
      <c r="BK172" s="1" t="s">
        <v>74</v>
      </c>
      <c r="BL172" s="1" t="s">
        <v>74</v>
      </c>
      <c r="BM172" s="1" t="s">
        <v>74</v>
      </c>
      <c r="BN172" s="1">
        <v>3.2145103E7</v>
      </c>
      <c r="BO172" s="1" t="s">
        <v>74</v>
      </c>
      <c r="BP172" s="1" t="s">
        <v>74</v>
      </c>
      <c r="BQ172" s="1" t="s">
        <v>74</v>
      </c>
      <c r="BR172" s="1" t="s">
        <v>74</v>
      </c>
      <c r="BS172" s="1" t="s">
        <v>1931</v>
      </c>
      <c r="BT172" s="1" t="str">
        <f>HYPERLINK("https%3A%2F%2Fwww.webofscience.com%2Fwos%2Fwoscc%2Ffull-record%2FWOS:000520525400001","View Full Record in Web of Science")</f>
        <v>View Full Record in Web of Science</v>
      </c>
    </row>
    <row r="173" ht="12.75" customHeight="1">
      <c r="A173" s="1" t="s">
        <v>72</v>
      </c>
      <c r="B173" s="1" t="s">
        <v>1932</v>
      </c>
      <c r="C173" s="1" t="s">
        <v>74</v>
      </c>
      <c r="D173" s="1" t="s">
        <v>74</v>
      </c>
      <c r="E173" s="1" t="s">
        <v>74</v>
      </c>
      <c r="F173" s="1" t="s">
        <v>1933</v>
      </c>
      <c r="G173" s="1" t="s">
        <v>74</v>
      </c>
      <c r="H173" s="1" t="s">
        <v>74</v>
      </c>
      <c r="I173" s="1" t="s">
        <v>1934</v>
      </c>
      <c r="J173" s="1" t="s">
        <v>1935</v>
      </c>
      <c r="K173" s="1" t="s">
        <v>74</v>
      </c>
      <c r="L173" s="1" t="s">
        <v>74</v>
      </c>
      <c r="M173" s="1" t="s">
        <v>74</v>
      </c>
      <c r="N173" s="1" t="s">
        <v>74</v>
      </c>
      <c r="O173" s="1" t="s">
        <v>74</v>
      </c>
      <c r="P173" s="1" t="s">
        <v>74</v>
      </c>
      <c r="Q173" s="1" t="s">
        <v>74</v>
      </c>
      <c r="R173" s="1" t="s">
        <v>74</v>
      </c>
      <c r="S173" s="1" t="s">
        <v>74</v>
      </c>
      <c r="T173" s="1" t="s">
        <v>74</v>
      </c>
      <c r="U173" s="1" t="s">
        <v>74</v>
      </c>
      <c r="V173" s="1" t="s">
        <v>1936</v>
      </c>
      <c r="W173" s="1" t="s">
        <v>74</v>
      </c>
      <c r="X173" s="1" t="s">
        <v>74</v>
      </c>
      <c r="Y173" s="1" t="s">
        <v>74</v>
      </c>
      <c r="Z173" s="1" t="s">
        <v>74</v>
      </c>
      <c r="AA173" s="1" t="s">
        <v>1937</v>
      </c>
      <c r="AB173" s="1" t="s">
        <v>1938</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1939</v>
      </c>
      <c r="AP173" s="1" t="s">
        <v>74</v>
      </c>
      <c r="AQ173" s="1" t="s">
        <v>74</v>
      </c>
      <c r="AR173" s="1" t="s">
        <v>74</v>
      </c>
      <c r="AS173" s="1" t="s">
        <v>74</v>
      </c>
      <c r="AT173" s="1" t="s">
        <v>74</v>
      </c>
      <c r="AU173" s="1">
        <v>2020.0</v>
      </c>
      <c r="AV173" s="1">
        <v>11.0</v>
      </c>
      <c r="AW173" s="1">
        <v>7.0</v>
      </c>
      <c r="AX173" s="1" t="s">
        <v>74</v>
      </c>
      <c r="AY173" s="1" t="s">
        <v>74</v>
      </c>
      <c r="AZ173" s="1" t="s">
        <v>74</v>
      </c>
      <c r="BA173" s="1" t="s">
        <v>74</v>
      </c>
      <c r="BB173" s="1">
        <v>1780.0</v>
      </c>
      <c r="BC173" s="1">
        <v>1791.0</v>
      </c>
      <c r="BD173" s="1" t="s">
        <v>74</v>
      </c>
      <c r="BE173" s="1" t="s">
        <v>1940</v>
      </c>
      <c r="BF173" s="2" t="str">
        <f>HYPERLINK("http://dx.doi.org/10.7150/jca.38880","http://dx.doi.org/10.7150/jca.38880")</f>
        <v>http://dx.doi.org/10.7150/jca.38880</v>
      </c>
      <c r="BG173" s="1" t="s">
        <v>74</v>
      </c>
      <c r="BH173" s="1" t="s">
        <v>74</v>
      </c>
      <c r="BI173" s="1" t="s">
        <v>74</v>
      </c>
      <c r="BJ173" s="1" t="s">
        <v>74</v>
      </c>
      <c r="BK173" s="1" t="s">
        <v>74</v>
      </c>
      <c r="BL173" s="1" t="s">
        <v>74</v>
      </c>
      <c r="BM173" s="1" t="s">
        <v>74</v>
      </c>
      <c r="BN173" s="1">
        <v>3.2194789E7</v>
      </c>
      <c r="BO173" s="1" t="s">
        <v>74</v>
      </c>
      <c r="BP173" s="1" t="s">
        <v>74</v>
      </c>
      <c r="BQ173" s="1" t="s">
        <v>74</v>
      </c>
      <c r="BR173" s="1" t="s">
        <v>74</v>
      </c>
      <c r="BS173" s="1" t="s">
        <v>1941</v>
      </c>
      <c r="BT173" s="1" t="str">
        <f>HYPERLINK("https%3A%2F%2Fwww.webofscience.com%2Fwos%2Fwoscc%2Ffull-record%2FWOS:000512895100013","View Full Record in Web of Science")</f>
        <v>View Full Record in Web of Science</v>
      </c>
    </row>
    <row r="174" ht="12.75" customHeight="1">
      <c r="A174" s="1" t="s">
        <v>72</v>
      </c>
      <c r="B174" s="1" t="s">
        <v>1942</v>
      </c>
      <c r="C174" s="1" t="s">
        <v>74</v>
      </c>
      <c r="D174" s="1" t="s">
        <v>74</v>
      </c>
      <c r="E174" s="1" t="s">
        <v>74</v>
      </c>
      <c r="F174" s="1" t="s">
        <v>1943</v>
      </c>
      <c r="G174" s="1" t="s">
        <v>74</v>
      </c>
      <c r="H174" s="1" t="s">
        <v>74</v>
      </c>
      <c r="I174" s="1" t="s">
        <v>1944</v>
      </c>
      <c r="J174" s="1" t="s">
        <v>398</v>
      </c>
      <c r="K174" s="1" t="s">
        <v>74</v>
      </c>
      <c r="L174" s="1" t="s">
        <v>74</v>
      </c>
      <c r="M174" s="1" t="s">
        <v>74</v>
      </c>
      <c r="N174" s="1" t="s">
        <v>74</v>
      </c>
      <c r="O174" s="1" t="s">
        <v>74</v>
      </c>
      <c r="P174" s="1" t="s">
        <v>74</v>
      </c>
      <c r="Q174" s="1" t="s">
        <v>74</v>
      </c>
      <c r="R174" s="1" t="s">
        <v>74</v>
      </c>
      <c r="S174" s="1" t="s">
        <v>74</v>
      </c>
      <c r="T174" s="1" t="s">
        <v>74</v>
      </c>
      <c r="U174" s="1" t="s">
        <v>74</v>
      </c>
      <c r="V174" s="1" t="s">
        <v>1945</v>
      </c>
      <c r="W174" s="1" t="s">
        <v>74</v>
      </c>
      <c r="X174" s="1" t="s">
        <v>74</v>
      </c>
      <c r="Y174" s="1" t="s">
        <v>74</v>
      </c>
      <c r="Z174" s="1" t="s">
        <v>74</v>
      </c>
      <c r="AA174" s="1" t="s">
        <v>1946</v>
      </c>
      <c r="AB174" s="1" t="s">
        <v>1947</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402</v>
      </c>
      <c r="AP174" s="1" t="s">
        <v>403</v>
      </c>
      <c r="AQ174" s="1" t="s">
        <v>74</v>
      </c>
      <c r="AR174" s="1" t="s">
        <v>74</v>
      </c>
      <c r="AS174" s="1" t="s">
        <v>74</v>
      </c>
      <c r="AT174" s="1" t="s">
        <v>1948</v>
      </c>
      <c r="AU174" s="1">
        <v>2019.0</v>
      </c>
      <c r="AV174" s="1">
        <v>12.0</v>
      </c>
      <c r="AW174" s="1">
        <v>9.0</v>
      </c>
      <c r="AX174" s="1" t="s">
        <v>74</v>
      </c>
      <c r="AY174" s="1" t="s">
        <v>74</v>
      </c>
      <c r="AZ174" s="1" t="s">
        <v>74</v>
      </c>
      <c r="BA174" s="1" t="s">
        <v>74</v>
      </c>
      <c r="BB174" s="1">
        <v>5071.0</v>
      </c>
      <c r="BC174" s="1">
        <v>5086.0</v>
      </c>
      <c r="BD174" s="1" t="s">
        <v>74</v>
      </c>
      <c r="BE174" s="1" t="s">
        <v>1949</v>
      </c>
      <c r="BF174" s="2" t="str">
        <f>HYPERLINK("http://dx.doi.org/10.5194/amt-12-5071-2019","http://dx.doi.org/10.5194/amt-12-5071-2019")</f>
        <v>http://dx.doi.org/10.5194/amt-12-5071-2019</v>
      </c>
      <c r="BG174" s="1" t="s">
        <v>74</v>
      </c>
      <c r="BH174" s="1" t="s">
        <v>74</v>
      </c>
      <c r="BI174" s="1" t="s">
        <v>74</v>
      </c>
      <c r="BJ174" s="1" t="s">
        <v>74</v>
      </c>
      <c r="BK174" s="1" t="s">
        <v>74</v>
      </c>
      <c r="BL174" s="1" t="s">
        <v>74</v>
      </c>
      <c r="BM174" s="1" t="s">
        <v>74</v>
      </c>
      <c r="BN174" s="1" t="s">
        <v>74</v>
      </c>
      <c r="BO174" s="1" t="s">
        <v>74</v>
      </c>
      <c r="BP174" s="1" t="s">
        <v>74</v>
      </c>
      <c r="BQ174" s="1" t="s">
        <v>74</v>
      </c>
      <c r="BR174" s="1" t="s">
        <v>74</v>
      </c>
      <c r="BS174" s="1" t="s">
        <v>1950</v>
      </c>
      <c r="BT174" s="1" t="str">
        <f>HYPERLINK("https%3A%2F%2Fwww.webofscience.com%2Fwos%2Fwoscc%2Ffull-record%2FWOS:000487988900001","View Full Record in Web of Science")</f>
        <v>View Full Record in Web of Science</v>
      </c>
    </row>
    <row r="175" ht="12.75" customHeight="1">
      <c r="A175" s="1" t="s">
        <v>72</v>
      </c>
      <c r="B175" s="1" t="s">
        <v>1951</v>
      </c>
      <c r="C175" s="1" t="s">
        <v>74</v>
      </c>
      <c r="D175" s="1" t="s">
        <v>74</v>
      </c>
      <c r="E175" s="1" t="s">
        <v>74</v>
      </c>
      <c r="F175" s="1" t="s">
        <v>1952</v>
      </c>
      <c r="G175" s="1" t="s">
        <v>74</v>
      </c>
      <c r="H175" s="1" t="s">
        <v>74</v>
      </c>
      <c r="I175" s="1" t="s">
        <v>1953</v>
      </c>
      <c r="J175" s="1" t="s">
        <v>101</v>
      </c>
      <c r="K175" s="1" t="s">
        <v>74</v>
      </c>
      <c r="L175" s="1" t="s">
        <v>74</v>
      </c>
      <c r="M175" s="1" t="s">
        <v>74</v>
      </c>
      <c r="N175" s="1" t="s">
        <v>74</v>
      </c>
      <c r="O175" s="1" t="s">
        <v>74</v>
      </c>
      <c r="P175" s="1" t="s">
        <v>74</v>
      </c>
      <c r="Q175" s="1" t="s">
        <v>74</v>
      </c>
      <c r="R175" s="1" t="s">
        <v>74</v>
      </c>
      <c r="S175" s="1" t="s">
        <v>74</v>
      </c>
      <c r="T175" s="1" t="s">
        <v>74</v>
      </c>
      <c r="U175" s="1" t="s">
        <v>74</v>
      </c>
      <c r="V175" s="1" t="s">
        <v>1954</v>
      </c>
      <c r="W175" s="1" t="s">
        <v>74</v>
      </c>
      <c r="X175" s="1" t="s">
        <v>74</v>
      </c>
      <c r="Y175" s="1" t="s">
        <v>74</v>
      </c>
      <c r="Z175" s="1" t="s">
        <v>74</v>
      </c>
      <c r="AA175" s="1" t="s">
        <v>1955</v>
      </c>
      <c r="AB175" s="1" t="s">
        <v>1956</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105</v>
      </c>
      <c r="AP175" s="1" t="s">
        <v>74</v>
      </c>
      <c r="AQ175" s="1" t="s">
        <v>74</v>
      </c>
      <c r="AR175" s="1" t="s">
        <v>74</v>
      </c>
      <c r="AS175" s="1" t="s">
        <v>74</v>
      </c>
      <c r="AT175" s="1" t="s">
        <v>130</v>
      </c>
      <c r="AU175" s="1">
        <v>2019.0</v>
      </c>
      <c r="AV175" s="1">
        <v>24.0</v>
      </c>
      <c r="AW175" s="1">
        <v>3.0</v>
      </c>
      <c r="AX175" s="1" t="s">
        <v>74</v>
      </c>
      <c r="AY175" s="1" t="s">
        <v>74</v>
      </c>
      <c r="AZ175" s="1" t="s">
        <v>74</v>
      </c>
      <c r="BA175" s="1" t="s">
        <v>74</v>
      </c>
      <c r="BB175" s="1" t="s">
        <v>74</v>
      </c>
      <c r="BC175" s="1" t="s">
        <v>74</v>
      </c>
      <c r="BD175" s="1">
        <v>648.0</v>
      </c>
      <c r="BE175" s="1" t="s">
        <v>1957</v>
      </c>
      <c r="BF175" s="2" t="str">
        <f>HYPERLINK("http://dx.doi.org/10.3390/molecules24030648","http://dx.doi.org/10.3390/molecules24030648")</f>
        <v>http://dx.doi.org/10.3390/molecules24030648</v>
      </c>
      <c r="BG175" s="1" t="s">
        <v>74</v>
      </c>
      <c r="BH175" s="1" t="s">
        <v>74</v>
      </c>
      <c r="BI175" s="1" t="s">
        <v>74</v>
      </c>
      <c r="BJ175" s="1" t="s">
        <v>74</v>
      </c>
      <c r="BK175" s="1" t="s">
        <v>74</v>
      </c>
      <c r="BL175" s="1" t="s">
        <v>74</v>
      </c>
      <c r="BM175" s="1" t="s">
        <v>74</v>
      </c>
      <c r="BN175" s="1">
        <v>3.0759833E7</v>
      </c>
      <c r="BO175" s="1" t="s">
        <v>74</v>
      </c>
      <c r="BP175" s="1" t="s">
        <v>74</v>
      </c>
      <c r="BQ175" s="1" t="s">
        <v>74</v>
      </c>
      <c r="BR175" s="1" t="s">
        <v>74</v>
      </c>
      <c r="BS175" s="1" t="s">
        <v>1958</v>
      </c>
      <c r="BT175" s="1" t="str">
        <f>HYPERLINK("https%3A%2F%2Fwww.webofscience.com%2Fwos%2Fwoscc%2Ffull-record%2FWOS:000458934000272","View Full Record in Web of Science")</f>
        <v>View Full Record in Web of Science</v>
      </c>
    </row>
    <row r="176" ht="12.75" customHeight="1">
      <c r="A176" s="1" t="s">
        <v>72</v>
      </c>
      <c r="B176" s="1" t="s">
        <v>1959</v>
      </c>
      <c r="C176" s="1" t="s">
        <v>74</v>
      </c>
      <c r="D176" s="1" t="s">
        <v>74</v>
      </c>
      <c r="E176" s="1" t="s">
        <v>74</v>
      </c>
      <c r="F176" s="1" t="s">
        <v>1960</v>
      </c>
      <c r="G176" s="1" t="s">
        <v>74</v>
      </c>
      <c r="H176" s="1" t="s">
        <v>74</v>
      </c>
      <c r="I176" s="1" t="s">
        <v>1961</v>
      </c>
      <c r="J176" s="1" t="s">
        <v>270</v>
      </c>
      <c r="K176" s="1" t="s">
        <v>74</v>
      </c>
      <c r="L176" s="1" t="s">
        <v>74</v>
      </c>
      <c r="M176" s="1" t="s">
        <v>74</v>
      </c>
      <c r="N176" s="1" t="s">
        <v>74</v>
      </c>
      <c r="O176" s="1" t="s">
        <v>74</v>
      </c>
      <c r="P176" s="1" t="s">
        <v>74</v>
      </c>
      <c r="Q176" s="1" t="s">
        <v>74</v>
      </c>
      <c r="R176" s="1" t="s">
        <v>74</v>
      </c>
      <c r="S176" s="1" t="s">
        <v>74</v>
      </c>
      <c r="T176" s="1" t="s">
        <v>74</v>
      </c>
      <c r="U176" s="1" t="s">
        <v>74</v>
      </c>
      <c r="V176" s="1" t="s">
        <v>1962</v>
      </c>
      <c r="W176" s="1" t="s">
        <v>74</v>
      </c>
      <c r="X176" s="1" t="s">
        <v>74</v>
      </c>
      <c r="Y176" s="1" t="s">
        <v>74</v>
      </c>
      <c r="Z176" s="1" t="s">
        <v>74</v>
      </c>
      <c r="AA176" s="1" t="s">
        <v>1963</v>
      </c>
      <c r="AB176" s="1" t="s">
        <v>1964</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1965</v>
      </c>
      <c r="AP176" s="1" t="s">
        <v>1966</v>
      </c>
      <c r="AQ176" s="1" t="s">
        <v>74</v>
      </c>
      <c r="AR176" s="1" t="s">
        <v>74</v>
      </c>
      <c r="AS176" s="1" t="s">
        <v>74</v>
      </c>
      <c r="AT176" s="1" t="s">
        <v>1967</v>
      </c>
      <c r="AU176" s="1">
        <v>2016.0</v>
      </c>
      <c r="AV176" s="1">
        <v>94.0</v>
      </c>
      <c r="AW176" s="1">
        <v>8.0</v>
      </c>
      <c r="AX176" s="1" t="s">
        <v>74</v>
      </c>
      <c r="AY176" s="1" t="s">
        <v>74</v>
      </c>
      <c r="AZ176" s="1" t="s">
        <v>74</v>
      </c>
      <c r="BA176" s="1" t="s">
        <v>74</v>
      </c>
      <c r="BB176" s="1" t="s">
        <v>74</v>
      </c>
      <c r="BC176" s="1" t="s">
        <v>74</v>
      </c>
      <c r="BD176" s="1">
        <v>84011.0</v>
      </c>
      <c r="BE176" s="1" t="s">
        <v>1968</v>
      </c>
      <c r="BF176" s="2" t="str">
        <f>HYPERLINK("http://dx.doi.org/10.1103/PhysRevD.94.084011","http://dx.doi.org/10.1103/PhysRevD.94.084011")</f>
        <v>http://dx.doi.org/10.1103/PhysRevD.94.084011</v>
      </c>
      <c r="BG176" s="1" t="s">
        <v>74</v>
      </c>
      <c r="BH176" s="1" t="s">
        <v>74</v>
      </c>
      <c r="BI176" s="1" t="s">
        <v>74</v>
      </c>
      <c r="BJ176" s="1" t="s">
        <v>74</v>
      </c>
      <c r="BK176" s="1" t="s">
        <v>74</v>
      </c>
      <c r="BL176" s="1" t="s">
        <v>74</v>
      </c>
      <c r="BM176" s="1" t="s">
        <v>74</v>
      </c>
      <c r="BN176" s="1" t="s">
        <v>74</v>
      </c>
      <c r="BO176" s="1" t="s">
        <v>74</v>
      </c>
      <c r="BP176" s="1" t="s">
        <v>74</v>
      </c>
      <c r="BQ176" s="1" t="s">
        <v>74</v>
      </c>
      <c r="BR176" s="1" t="s">
        <v>74</v>
      </c>
      <c r="BS176" s="1" t="s">
        <v>1969</v>
      </c>
      <c r="BT176" s="1" t="str">
        <f>HYPERLINK("https%3A%2F%2Fwww.webofscience.com%2Fwos%2Fwoscc%2Ffull-record%2FWOS:000385246500008","View Full Record in Web of Science")</f>
        <v>View Full Record in Web of Science</v>
      </c>
    </row>
    <row r="177" ht="12.75" customHeight="1">
      <c r="A177" s="1" t="s">
        <v>72</v>
      </c>
      <c r="B177" s="1" t="s">
        <v>1970</v>
      </c>
      <c r="C177" s="1" t="s">
        <v>74</v>
      </c>
      <c r="D177" s="1" t="s">
        <v>74</v>
      </c>
      <c r="E177" s="1" t="s">
        <v>74</v>
      </c>
      <c r="F177" s="1" t="s">
        <v>1971</v>
      </c>
      <c r="G177" s="1" t="s">
        <v>74</v>
      </c>
      <c r="H177" s="1" t="s">
        <v>74</v>
      </c>
      <c r="I177" s="1" t="s">
        <v>1972</v>
      </c>
      <c r="J177" s="1" t="s">
        <v>1973</v>
      </c>
      <c r="K177" s="1" t="s">
        <v>74</v>
      </c>
      <c r="L177" s="1" t="s">
        <v>74</v>
      </c>
      <c r="M177" s="1" t="s">
        <v>74</v>
      </c>
      <c r="N177" s="1" t="s">
        <v>74</v>
      </c>
      <c r="O177" s="1" t="s">
        <v>74</v>
      </c>
      <c r="P177" s="1" t="s">
        <v>74</v>
      </c>
      <c r="Q177" s="1" t="s">
        <v>74</v>
      </c>
      <c r="R177" s="1" t="s">
        <v>74</v>
      </c>
      <c r="S177" s="1" t="s">
        <v>74</v>
      </c>
      <c r="T177" s="1" t="s">
        <v>74</v>
      </c>
      <c r="U177" s="1" t="s">
        <v>74</v>
      </c>
      <c r="V177" s="1" t="s">
        <v>1974</v>
      </c>
      <c r="W177" s="1" t="s">
        <v>74</v>
      </c>
      <c r="X177" s="1" t="s">
        <v>74</v>
      </c>
      <c r="Y177" s="1" t="s">
        <v>74</v>
      </c>
      <c r="Z177" s="1" t="s">
        <v>74</v>
      </c>
      <c r="AA177" s="1" t="s">
        <v>1975</v>
      </c>
      <c r="AB177" s="1" t="s">
        <v>1976</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1977</v>
      </c>
      <c r="AP177" s="1" t="s">
        <v>1978</v>
      </c>
      <c r="AQ177" s="1" t="s">
        <v>74</v>
      </c>
      <c r="AR177" s="1" t="s">
        <v>74</v>
      </c>
      <c r="AS177" s="1" t="s">
        <v>74</v>
      </c>
      <c r="AT177" s="1" t="s">
        <v>141</v>
      </c>
      <c r="AU177" s="1">
        <v>2015.0</v>
      </c>
      <c r="AV177" s="1">
        <v>40.0</v>
      </c>
      <c r="AW177" s="1">
        <v>9.0</v>
      </c>
      <c r="AX177" s="1" t="s">
        <v>74</v>
      </c>
      <c r="AY177" s="1" t="s">
        <v>74</v>
      </c>
      <c r="AZ177" s="1" t="s">
        <v>74</v>
      </c>
      <c r="BA177" s="1" t="s">
        <v>74</v>
      </c>
      <c r="BB177" s="1">
        <v>740.0</v>
      </c>
      <c r="BC177" s="1">
        <v>741.0</v>
      </c>
      <c r="BD177" s="1" t="s">
        <v>74</v>
      </c>
      <c r="BE177" s="1" t="s">
        <v>1979</v>
      </c>
      <c r="BF177" s="2" t="str">
        <f>HYPERLINK("http://dx.doi.org/10.1097/RLU.0000000000000868","http://dx.doi.org/10.1097/RLU.0000000000000868")</f>
        <v>http://dx.doi.org/10.1097/RLU.0000000000000868</v>
      </c>
      <c r="BG177" s="1" t="s">
        <v>74</v>
      </c>
      <c r="BH177" s="1" t="s">
        <v>74</v>
      </c>
      <c r="BI177" s="1" t="s">
        <v>74</v>
      </c>
      <c r="BJ177" s="1" t="s">
        <v>74</v>
      </c>
      <c r="BK177" s="1" t="s">
        <v>74</v>
      </c>
      <c r="BL177" s="1" t="s">
        <v>74</v>
      </c>
      <c r="BM177" s="1" t="s">
        <v>74</v>
      </c>
      <c r="BN177" s="1">
        <v>2.6204203E7</v>
      </c>
      <c r="BO177" s="1" t="s">
        <v>74</v>
      </c>
      <c r="BP177" s="1" t="s">
        <v>74</v>
      </c>
      <c r="BQ177" s="1" t="s">
        <v>74</v>
      </c>
      <c r="BR177" s="1" t="s">
        <v>74</v>
      </c>
      <c r="BS177" s="1" t="s">
        <v>1980</v>
      </c>
      <c r="BT177" s="1" t="str">
        <f>HYPERLINK("https%3A%2F%2Fwww.webofscience.com%2Fwos%2Fwoscc%2Ffull-record%2FWOS:000359668600012","View Full Record in Web of Science")</f>
        <v>View Full Record in Web of Science</v>
      </c>
    </row>
    <row r="178" ht="12.75" customHeight="1">
      <c r="A178" s="1" t="s">
        <v>72</v>
      </c>
      <c r="B178" s="1" t="s">
        <v>1981</v>
      </c>
      <c r="C178" s="1" t="s">
        <v>74</v>
      </c>
      <c r="D178" s="1" t="s">
        <v>74</v>
      </c>
      <c r="E178" s="1" t="s">
        <v>74</v>
      </c>
      <c r="F178" s="1" t="s">
        <v>1982</v>
      </c>
      <c r="G178" s="1" t="s">
        <v>74</v>
      </c>
      <c r="H178" s="1" t="s">
        <v>74</v>
      </c>
      <c r="I178" s="1" t="s">
        <v>1983</v>
      </c>
      <c r="J178" s="1" t="s">
        <v>1984</v>
      </c>
      <c r="K178" s="1" t="s">
        <v>74</v>
      </c>
      <c r="L178" s="1" t="s">
        <v>74</v>
      </c>
      <c r="M178" s="1" t="s">
        <v>74</v>
      </c>
      <c r="N178" s="1" t="s">
        <v>74</v>
      </c>
      <c r="O178" s="1" t="s">
        <v>74</v>
      </c>
      <c r="P178" s="1" t="s">
        <v>74</v>
      </c>
      <c r="Q178" s="1" t="s">
        <v>74</v>
      </c>
      <c r="R178" s="1" t="s">
        <v>74</v>
      </c>
      <c r="S178" s="1" t="s">
        <v>74</v>
      </c>
      <c r="T178" s="1" t="s">
        <v>74</v>
      </c>
      <c r="U178" s="1" t="s">
        <v>74</v>
      </c>
      <c r="V178" s="1" t="s">
        <v>1985</v>
      </c>
      <c r="W178" s="1" t="s">
        <v>74</v>
      </c>
      <c r="X178" s="1" t="s">
        <v>74</v>
      </c>
      <c r="Y178" s="1" t="s">
        <v>74</v>
      </c>
      <c r="Z178" s="1" t="s">
        <v>74</v>
      </c>
      <c r="AA178" s="1" t="s">
        <v>1986</v>
      </c>
      <c r="AB178" s="1" t="s">
        <v>1987</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1988</v>
      </c>
      <c r="AP178" s="1" t="s">
        <v>1989</v>
      </c>
      <c r="AQ178" s="1" t="s">
        <v>74</v>
      </c>
      <c r="AR178" s="1" t="s">
        <v>74</v>
      </c>
      <c r="AS178" s="1" t="s">
        <v>74</v>
      </c>
      <c r="AT178" s="1" t="s">
        <v>723</v>
      </c>
      <c r="AU178" s="1">
        <v>2015.0</v>
      </c>
      <c r="AV178" s="1">
        <v>162.0</v>
      </c>
      <c r="AW178" s="1" t="s">
        <v>74</v>
      </c>
      <c r="AX178" s="1" t="s">
        <v>74</v>
      </c>
      <c r="AY178" s="1" t="s">
        <v>74</v>
      </c>
      <c r="AZ178" s="1" t="s">
        <v>74</v>
      </c>
      <c r="BA178" s="1" t="s">
        <v>74</v>
      </c>
      <c r="BB178" s="1">
        <v>229.0</v>
      </c>
      <c r="BC178" s="1">
        <v>233.0</v>
      </c>
      <c r="BD178" s="1" t="s">
        <v>74</v>
      </c>
      <c r="BE178" s="1" t="s">
        <v>1990</v>
      </c>
      <c r="BF178" s="2" t="str">
        <f>HYPERLINK("http://dx.doi.org/10.1016/j.matchemphys.2015.05.062","http://dx.doi.org/10.1016/j.matchemphys.2015.05.062")</f>
        <v>http://dx.doi.org/10.1016/j.matchemphys.2015.05.062</v>
      </c>
      <c r="BG178" s="1" t="s">
        <v>74</v>
      </c>
      <c r="BH178" s="1" t="s">
        <v>74</v>
      </c>
      <c r="BI178" s="1" t="s">
        <v>74</v>
      </c>
      <c r="BJ178" s="1" t="s">
        <v>74</v>
      </c>
      <c r="BK178" s="1" t="s">
        <v>74</v>
      </c>
      <c r="BL178" s="1" t="s">
        <v>74</v>
      </c>
      <c r="BM178" s="1" t="s">
        <v>74</v>
      </c>
      <c r="BN178" s="1" t="s">
        <v>74</v>
      </c>
      <c r="BO178" s="1" t="s">
        <v>74</v>
      </c>
      <c r="BP178" s="1" t="s">
        <v>74</v>
      </c>
      <c r="BQ178" s="1" t="s">
        <v>74</v>
      </c>
      <c r="BR178" s="1" t="s">
        <v>74</v>
      </c>
      <c r="BS178" s="1" t="s">
        <v>1991</v>
      </c>
      <c r="BT178" s="1" t="str">
        <f>HYPERLINK("https%3A%2F%2Fwww.webofscience.com%2Fwos%2Fwoscc%2Ffull-record%2FWOS:000359958800031","View Full Record in Web of Science")</f>
        <v>View Full Record in Web of Science</v>
      </c>
    </row>
    <row r="179" ht="12.75" customHeight="1">
      <c r="A179" s="1" t="s">
        <v>72</v>
      </c>
      <c r="B179" s="1" t="s">
        <v>1992</v>
      </c>
      <c r="C179" s="1" t="s">
        <v>74</v>
      </c>
      <c r="D179" s="1" t="s">
        <v>74</v>
      </c>
      <c r="E179" s="1" t="s">
        <v>74</v>
      </c>
      <c r="F179" s="1" t="s">
        <v>1993</v>
      </c>
      <c r="G179" s="1" t="s">
        <v>74</v>
      </c>
      <c r="H179" s="1" t="s">
        <v>74</v>
      </c>
      <c r="I179" s="1" t="s">
        <v>1994</v>
      </c>
      <c r="J179" s="1" t="s">
        <v>1995</v>
      </c>
      <c r="K179" s="1" t="s">
        <v>74</v>
      </c>
      <c r="L179" s="1" t="s">
        <v>74</v>
      </c>
      <c r="M179" s="1" t="s">
        <v>74</v>
      </c>
      <c r="N179" s="1" t="s">
        <v>74</v>
      </c>
      <c r="O179" s="1" t="s">
        <v>74</v>
      </c>
      <c r="P179" s="1" t="s">
        <v>74</v>
      </c>
      <c r="Q179" s="1" t="s">
        <v>74</v>
      </c>
      <c r="R179" s="1" t="s">
        <v>74</v>
      </c>
      <c r="S179" s="1" t="s">
        <v>74</v>
      </c>
      <c r="T179" s="1" t="s">
        <v>74</v>
      </c>
      <c r="U179" s="1" t="s">
        <v>74</v>
      </c>
      <c r="V179" s="1" t="s">
        <v>1996</v>
      </c>
      <c r="W179" s="1" t="s">
        <v>74</v>
      </c>
      <c r="X179" s="1" t="s">
        <v>74</v>
      </c>
      <c r="Y179" s="1" t="s">
        <v>74</v>
      </c>
      <c r="Z179" s="1" t="s">
        <v>74</v>
      </c>
      <c r="AA179" s="1" t="s">
        <v>1997</v>
      </c>
      <c r="AB179" s="1" t="s">
        <v>1998</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1999</v>
      </c>
      <c r="AP179" s="1" t="s">
        <v>2000</v>
      </c>
      <c r="AQ179" s="1" t="s">
        <v>74</v>
      </c>
      <c r="AR179" s="1" t="s">
        <v>74</v>
      </c>
      <c r="AS179" s="1" t="s">
        <v>74</v>
      </c>
      <c r="AT179" s="1" t="s">
        <v>189</v>
      </c>
      <c r="AU179" s="1">
        <v>2013.0</v>
      </c>
      <c r="AV179" s="1">
        <v>14.0</v>
      </c>
      <c r="AW179" s="1">
        <v>6.0</v>
      </c>
      <c r="AX179" s="1" t="s">
        <v>74</v>
      </c>
      <c r="AY179" s="1" t="s">
        <v>74</v>
      </c>
      <c r="AZ179" s="1" t="s">
        <v>74</v>
      </c>
      <c r="BA179" s="1" t="s">
        <v>74</v>
      </c>
      <c r="BB179" s="1">
        <v>857.0</v>
      </c>
      <c r="BC179" s="1">
        <v>874.0</v>
      </c>
      <c r="BD179" s="1" t="s">
        <v>74</v>
      </c>
      <c r="BE179" s="1" t="s">
        <v>2001</v>
      </c>
      <c r="BF179" s="2" t="str">
        <f>HYPERLINK("http://dx.doi.org/10.1080/1461670X.2012.746006","http://dx.doi.org/10.1080/1461670X.2012.746006")</f>
        <v>http://dx.doi.org/10.1080/1461670X.2012.746006</v>
      </c>
      <c r="BG179" s="1" t="s">
        <v>74</v>
      </c>
      <c r="BH179" s="1" t="s">
        <v>74</v>
      </c>
      <c r="BI179" s="1" t="s">
        <v>74</v>
      </c>
      <c r="BJ179" s="1" t="s">
        <v>74</v>
      </c>
      <c r="BK179" s="1" t="s">
        <v>74</v>
      </c>
      <c r="BL179" s="1" t="s">
        <v>74</v>
      </c>
      <c r="BM179" s="1" t="s">
        <v>74</v>
      </c>
      <c r="BN179" s="1" t="s">
        <v>74</v>
      </c>
      <c r="BO179" s="1" t="s">
        <v>74</v>
      </c>
      <c r="BP179" s="1" t="s">
        <v>74</v>
      </c>
      <c r="BQ179" s="1" t="s">
        <v>74</v>
      </c>
      <c r="BR179" s="1" t="s">
        <v>74</v>
      </c>
      <c r="BS179" s="1" t="s">
        <v>2002</v>
      </c>
      <c r="BT179" s="1" t="str">
        <f>HYPERLINK("https%3A%2F%2Fwww.webofscience.com%2Fwos%2Fwoscc%2Ffull-record%2FWOS:000326012900006","View Full Record in Web of Science")</f>
        <v>View Full Record in Web of Science</v>
      </c>
    </row>
    <row r="180" ht="12.75" customHeight="1">
      <c r="A180" s="1" t="s">
        <v>72</v>
      </c>
      <c r="B180" s="1" t="s">
        <v>2003</v>
      </c>
      <c r="C180" s="1" t="s">
        <v>74</v>
      </c>
      <c r="D180" s="1" t="s">
        <v>74</v>
      </c>
      <c r="E180" s="1" t="s">
        <v>74</v>
      </c>
      <c r="F180" s="1" t="s">
        <v>2004</v>
      </c>
      <c r="G180" s="1" t="s">
        <v>74</v>
      </c>
      <c r="H180" s="1" t="s">
        <v>74</v>
      </c>
      <c r="I180" s="1" t="s">
        <v>2005</v>
      </c>
      <c r="J180" s="1" t="s">
        <v>2006</v>
      </c>
      <c r="K180" s="1" t="s">
        <v>74</v>
      </c>
      <c r="L180" s="1" t="s">
        <v>74</v>
      </c>
      <c r="M180" s="1" t="s">
        <v>74</v>
      </c>
      <c r="N180" s="1" t="s">
        <v>74</v>
      </c>
      <c r="O180" s="1" t="s">
        <v>74</v>
      </c>
      <c r="P180" s="1" t="s">
        <v>74</v>
      </c>
      <c r="Q180" s="1" t="s">
        <v>74</v>
      </c>
      <c r="R180" s="1" t="s">
        <v>74</v>
      </c>
      <c r="S180" s="1" t="s">
        <v>74</v>
      </c>
      <c r="T180" s="1" t="s">
        <v>74</v>
      </c>
      <c r="U180" s="1" t="s">
        <v>74</v>
      </c>
      <c r="V180" s="1" t="s">
        <v>2007</v>
      </c>
      <c r="W180" s="1" t="s">
        <v>74</v>
      </c>
      <c r="X180" s="1" t="s">
        <v>74</v>
      </c>
      <c r="Y180" s="1" t="s">
        <v>74</v>
      </c>
      <c r="Z180" s="1" t="s">
        <v>74</v>
      </c>
      <c r="AA180" s="1" t="s">
        <v>2008</v>
      </c>
      <c r="AB180" s="1" t="s">
        <v>74</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2009</v>
      </c>
      <c r="AP180" s="1" t="s">
        <v>74</v>
      </c>
      <c r="AQ180" s="1" t="s">
        <v>74</v>
      </c>
      <c r="AR180" s="1" t="s">
        <v>74</v>
      </c>
      <c r="AS180" s="1" t="s">
        <v>74</v>
      </c>
      <c r="AT180" s="1" t="s">
        <v>214</v>
      </c>
      <c r="AU180" s="1">
        <v>2025.0</v>
      </c>
      <c r="AV180" s="1">
        <v>50.0</v>
      </c>
      <c r="AW180" s="1">
        <v>2.0</v>
      </c>
      <c r="AX180" s="1" t="s">
        <v>74</v>
      </c>
      <c r="AY180" s="1" t="s">
        <v>74</v>
      </c>
      <c r="AZ180" s="1" t="s">
        <v>74</v>
      </c>
      <c r="BA180" s="1" t="s">
        <v>74</v>
      </c>
      <c r="BB180" s="1">
        <v>99.0</v>
      </c>
      <c r="BC180" s="1">
        <v>106.0</v>
      </c>
      <c r="BD180" s="1" t="s">
        <v>74</v>
      </c>
      <c r="BE180" s="1" t="s">
        <v>74</v>
      </c>
      <c r="BF180" s="1" t="s">
        <v>74</v>
      </c>
      <c r="BG180" s="1" t="s">
        <v>74</v>
      </c>
      <c r="BH180" s="1" t="s">
        <v>74</v>
      </c>
      <c r="BI180" s="1" t="s">
        <v>74</v>
      </c>
      <c r="BJ180" s="1" t="s">
        <v>74</v>
      </c>
      <c r="BK180" s="1" t="s">
        <v>74</v>
      </c>
      <c r="BL180" s="1" t="s">
        <v>74</v>
      </c>
      <c r="BM180" s="1" t="s">
        <v>74</v>
      </c>
      <c r="BN180" s="1" t="s">
        <v>74</v>
      </c>
      <c r="BO180" s="1" t="s">
        <v>74</v>
      </c>
      <c r="BP180" s="1" t="s">
        <v>74</v>
      </c>
      <c r="BQ180" s="1" t="s">
        <v>74</v>
      </c>
      <c r="BR180" s="1" t="s">
        <v>74</v>
      </c>
      <c r="BS180" s="1" t="s">
        <v>2010</v>
      </c>
      <c r="BT180" s="1" t="str">
        <f>HYPERLINK("https%3A%2F%2Fwww.webofscience.com%2Fwos%2Fwoscc%2Ffull-record%2FWOS:001436851300005","View Full Record in Web of Science")</f>
        <v>View Full Record in Web of Science</v>
      </c>
    </row>
    <row r="181" ht="12.75" customHeight="1">
      <c r="A181" s="1" t="s">
        <v>72</v>
      </c>
      <c r="B181" s="1" t="s">
        <v>2011</v>
      </c>
      <c r="C181" s="1" t="s">
        <v>74</v>
      </c>
      <c r="D181" s="1" t="s">
        <v>74</v>
      </c>
      <c r="E181" s="1" t="s">
        <v>74</v>
      </c>
      <c r="F181" s="1" t="s">
        <v>2012</v>
      </c>
      <c r="G181" s="1" t="s">
        <v>74</v>
      </c>
      <c r="H181" s="1" t="s">
        <v>74</v>
      </c>
      <c r="I181" s="1" t="s">
        <v>2013</v>
      </c>
      <c r="J181" s="1" t="s">
        <v>2014</v>
      </c>
      <c r="K181" s="1" t="s">
        <v>74</v>
      </c>
      <c r="L181" s="1" t="s">
        <v>74</v>
      </c>
      <c r="M181" s="1" t="s">
        <v>74</v>
      </c>
      <c r="N181" s="1" t="s">
        <v>74</v>
      </c>
      <c r="O181" s="1" t="s">
        <v>74</v>
      </c>
      <c r="P181" s="1" t="s">
        <v>74</v>
      </c>
      <c r="Q181" s="1" t="s">
        <v>74</v>
      </c>
      <c r="R181" s="1" t="s">
        <v>74</v>
      </c>
      <c r="S181" s="1" t="s">
        <v>74</v>
      </c>
      <c r="T181" s="1" t="s">
        <v>74</v>
      </c>
      <c r="U181" s="1" t="s">
        <v>74</v>
      </c>
      <c r="V181" s="1" t="s">
        <v>2015</v>
      </c>
      <c r="W181" s="1" t="s">
        <v>74</v>
      </c>
      <c r="X181" s="1" t="s">
        <v>74</v>
      </c>
      <c r="Y181" s="1" t="s">
        <v>74</v>
      </c>
      <c r="Z181" s="1" t="s">
        <v>74</v>
      </c>
      <c r="AA181" s="1" t="s">
        <v>2016</v>
      </c>
      <c r="AB181" s="1" t="s">
        <v>2017</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2018</v>
      </c>
      <c r="AP181" s="1" t="s">
        <v>2019</v>
      </c>
      <c r="AQ181" s="1" t="s">
        <v>74</v>
      </c>
      <c r="AR181" s="1" t="s">
        <v>74</v>
      </c>
      <c r="AS181" s="1" t="s">
        <v>74</v>
      </c>
      <c r="AT181" s="1" t="s">
        <v>264</v>
      </c>
      <c r="AU181" s="1">
        <v>2024.0</v>
      </c>
      <c r="AV181" s="1">
        <v>226.0</v>
      </c>
      <c r="AW181" s="1" t="s">
        <v>74</v>
      </c>
      <c r="AX181" s="1" t="s">
        <v>74</v>
      </c>
      <c r="AY181" s="1" t="s">
        <v>74</v>
      </c>
      <c r="AZ181" s="1" t="s">
        <v>74</v>
      </c>
      <c r="BA181" s="1" t="s">
        <v>74</v>
      </c>
      <c r="BB181" s="1">
        <v>53.0</v>
      </c>
      <c r="BC181" s="1">
        <v>57.0</v>
      </c>
      <c r="BD181" s="1" t="s">
        <v>74</v>
      </c>
      <c r="BE181" s="1" t="s">
        <v>2020</v>
      </c>
      <c r="BF181" s="2" t="str">
        <f>HYPERLINK("http://dx.doi.org/10.1016/j.puhe.2023.10.048","http://dx.doi.org/10.1016/j.puhe.2023.10.048")</f>
        <v>http://dx.doi.org/10.1016/j.puhe.2023.10.048</v>
      </c>
      <c r="BG181" s="1" t="s">
        <v>74</v>
      </c>
      <c r="BH181" s="1" t="s">
        <v>1116</v>
      </c>
      <c r="BI181" s="1" t="s">
        <v>74</v>
      </c>
      <c r="BJ181" s="1" t="s">
        <v>74</v>
      </c>
      <c r="BK181" s="1" t="s">
        <v>74</v>
      </c>
      <c r="BL181" s="1" t="s">
        <v>74</v>
      </c>
      <c r="BM181" s="1" t="s">
        <v>74</v>
      </c>
      <c r="BN181" s="1">
        <v>3.8006742E7</v>
      </c>
      <c r="BO181" s="1" t="s">
        <v>74</v>
      </c>
      <c r="BP181" s="1" t="s">
        <v>74</v>
      </c>
      <c r="BQ181" s="1" t="s">
        <v>74</v>
      </c>
      <c r="BR181" s="1" t="s">
        <v>74</v>
      </c>
      <c r="BS181" s="1" t="s">
        <v>2021</v>
      </c>
      <c r="BT181" s="1" t="str">
        <f>HYPERLINK("https%3A%2F%2Fwww.webofscience.com%2Fwos%2Fwoscc%2Ffull-record%2FWOS:001125635300001","View Full Record in Web of Science")</f>
        <v>View Full Record in Web of Science</v>
      </c>
    </row>
    <row r="182" ht="12.75" customHeight="1">
      <c r="A182" s="1" t="s">
        <v>72</v>
      </c>
      <c r="B182" s="1" t="s">
        <v>2022</v>
      </c>
      <c r="C182" s="1" t="s">
        <v>74</v>
      </c>
      <c r="D182" s="1" t="s">
        <v>74</v>
      </c>
      <c r="E182" s="1" t="s">
        <v>74</v>
      </c>
      <c r="F182" s="1" t="s">
        <v>2023</v>
      </c>
      <c r="G182" s="1" t="s">
        <v>74</v>
      </c>
      <c r="H182" s="1" t="s">
        <v>74</v>
      </c>
      <c r="I182" s="1" t="s">
        <v>2024</v>
      </c>
      <c r="J182" s="1" t="s">
        <v>2025</v>
      </c>
      <c r="K182" s="1" t="s">
        <v>74</v>
      </c>
      <c r="L182" s="1" t="s">
        <v>74</v>
      </c>
      <c r="M182" s="1" t="s">
        <v>74</v>
      </c>
      <c r="N182" s="1" t="s">
        <v>74</v>
      </c>
      <c r="O182" s="1" t="s">
        <v>74</v>
      </c>
      <c r="P182" s="1" t="s">
        <v>74</v>
      </c>
      <c r="Q182" s="1" t="s">
        <v>74</v>
      </c>
      <c r="R182" s="1" t="s">
        <v>74</v>
      </c>
      <c r="S182" s="1" t="s">
        <v>74</v>
      </c>
      <c r="T182" s="1" t="s">
        <v>74</v>
      </c>
      <c r="U182" s="1" t="s">
        <v>74</v>
      </c>
      <c r="V182" s="1" t="s">
        <v>2026</v>
      </c>
      <c r="W182" s="1" t="s">
        <v>74</v>
      </c>
      <c r="X182" s="1" t="s">
        <v>74</v>
      </c>
      <c r="Y182" s="1" t="s">
        <v>74</v>
      </c>
      <c r="Z182" s="1" t="s">
        <v>74</v>
      </c>
      <c r="AA182" s="1" t="s">
        <v>2027</v>
      </c>
      <c r="AB182" s="1" t="s">
        <v>2028</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2029</v>
      </c>
      <c r="AP182" s="1" t="s">
        <v>2030</v>
      </c>
      <c r="AQ182" s="1" t="s">
        <v>74</v>
      </c>
      <c r="AR182" s="1" t="s">
        <v>74</v>
      </c>
      <c r="AS182" s="1" t="s">
        <v>74</v>
      </c>
      <c r="AT182" s="1" t="s">
        <v>334</v>
      </c>
      <c r="AU182" s="1">
        <v>2023.0</v>
      </c>
      <c r="AV182" s="1">
        <v>15.0</v>
      </c>
      <c r="AW182" s="1">
        <v>15.0</v>
      </c>
      <c r="AX182" s="1" t="s">
        <v>74</v>
      </c>
      <c r="AY182" s="1" t="s">
        <v>74</v>
      </c>
      <c r="AZ182" s="1" t="s">
        <v>74</v>
      </c>
      <c r="BA182" s="1" t="s">
        <v>74</v>
      </c>
      <c r="BB182" s="1">
        <v>6591.0</v>
      </c>
      <c r="BC182" s="1">
        <v>6602.0</v>
      </c>
      <c r="BD182" s="1" t="s">
        <v>74</v>
      </c>
      <c r="BE182" s="1" t="s">
        <v>2031</v>
      </c>
      <c r="BF182" s="2" t="str">
        <f>HYPERLINK("http://dx.doi.org/10.1007/s12633-023-02505-4","http://dx.doi.org/10.1007/s12633-023-02505-4")</f>
        <v>http://dx.doi.org/10.1007/s12633-023-02505-4</v>
      </c>
      <c r="BG182" s="1" t="s">
        <v>74</v>
      </c>
      <c r="BH182" s="1" t="s">
        <v>1507</v>
      </c>
      <c r="BI182" s="1" t="s">
        <v>74</v>
      </c>
      <c r="BJ182" s="1" t="s">
        <v>74</v>
      </c>
      <c r="BK182" s="1" t="s">
        <v>74</v>
      </c>
      <c r="BL182" s="1" t="s">
        <v>74</v>
      </c>
      <c r="BM182" s="1" t="s">
        <v>74</v>
      </c>
      <c r="BN182" s="1" t="s">
        <v>74</v>
      </c>
      <c r="BO182" s="1" t="s">
        <v>74</v>
      </c>
      <c r="BP182" s="1" t="s">
        <v>74</v>
      </c>
      <c r="BQ182" s="1" t="s">
        <v>74</v>
      </c>
      <c r="BR182" s="1" t="s">
        <v>74</v>
      </c>
      <c r="BS182" s="1" t="s">
        <v>2032</v>
      </c>
      <c r="BT182" s="1" t="str">
        <f>HYPERLINK("https%3A%2F%2Fwww.webofscience.com%2Fwos%2Fwoscc%2Ffull-record%2FWOS:000998651600002","View Full Record in Web of Science")</f>
        <v>View Full Record in Web of Science</v>
      </c>
    </row>
    <row r="183" ht="12.75" customHeight="1">
      <c r="A183" s="1" t="s">
        <v>72</v>
      </c>
      <c r="B183" s="1" t="s">
        <v>2033</v>
      </c>
      <c r="C183" s="1" t="s">
        <v>74</v>
      </c>
      <c r="D183" s="1" t="s">
        <v>74</v>
      </c>
      <c r="E183" s="1" t="s">
        <v>74</v>
      </c>
      <c r="F183" s="1" t="s">
        <v>2034</v>
      </c>
      <c r="G183" s="1" t="s">
        <v>74</v>
      </c>
      <c r="H183" s="1" t="s">
        <v>74</v>
      </c>
      <c r="I183" s="1" t="s">
        <v>2035</v>
      </c>
      <c r="J183" s="1" t="s">
        <v>2036</v>
      </c>
      <c r="K183" s="1" t="s">
        <v>74</v>
      </c>
      <c r="L183" s="1" t="s">
        <v>74</v>
      </c>
      <c r="M183" s="1" t="s">
        <v>74</v>
      </c>
      <c r="N183" s="1" t="s">
        <v>74</v>
      </c>
      <c r="O183" s="1" t="s">
        <v>74</v>
      </c>
      <c r="P183" s="1" t="s">
        <v>74</v>
      </c>
      <c r="Q183" s="1" t="s">
        <v>74</v>
      </c>
      <c r="R183" s="1" t="s">
        <v>74</v>
      </c>
      <c r="S183" s="1" t="s">
        <v>74</v>
      </c>
      <c r="T183" s="1" t="s">
        <v>74</v>
      </c>
      <c r="U183" s="1" t="s">
        <v>74</v>
      </c>
      <c r="V183" s="1" t="s">
        <v>2037</v>
      </c>
      <c r="W183" s="1" t="s">
        <v>74</v>
      </c>
      <c r="X183" s="1" t="s">
        <v>74</v>
      </c>
      <c r="Y183" s="1" t="s">
        <v>74</v>
      </c>
      <c r="Z183" s="1" t="s">
        <v>74</v>
      </c>
      <c r="AA183" s="1" t="s">
        <v>2038</v>
      </c>
      <c r="AB183" s="1" t="s">
        <v>2039</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2040</v>
      </c>
      <c r="AP183" s="1" t="s">
        <v>74</v>
      </c>
      <c r="AQ183" s="1" t="s">
        <v>74</v>
      </c>
      <c r="AR183" s="1" t="s">
        <v>74</v>
      </c>
      <c r="AS183" s="1" t="s">
        <v>74</v>
      </c>
      <c r="AT183" s="1" t="s">
        <v>2041</v>
      </c>
      <c r="AU183" s="1">
        <v>2021.0</v>
      </c>
      <c r="AV183" s="1">
        <v>9.0</v>
      </c>
      <c r="AW183" s="1" t="s">
        <v>74</v>
      </c>
      <c r="AX183" s="1" t="s">
        <v>74</v>
      </c>
      <c r="AY183" s="1" t="s">
        <v>74</v>
      </c>
      <c r="AZ183" s="1" t="s">
        <v>74</v>
      </c>
      <c r="BA183" s="1" t="s">
        <v>74</v>
      </c>
      <c r="BB183" s="1" t="s">
        <v>74</v>
      </c>
      <c r="BC183" s="1" t="s">
        <v>74</v>
      </c>
      <c r="BD183" s="1">
        <v>647816.0</v>
      </c>
      <c r="BE183" s="1" t="s">
        <v>2042</v>
      </c>
      <c r="BF183" s="2" t="str">
        <f>HYPERLINK("http://dx.doi.org/10.3389/fchem.2021.647816","http://dx.doi.org/10.3389/fchem.2021.647816")</f>
        <v>http://dx.doi.org/10.3389/fchem.2021.647816</v>
      </c>
      <c r="BG183" s="1" t="s">
        <v>74</v>
      </c>
      <c r="BH183" s="1" t="s">
        <v>74</v>
      </c>
      <c r="BI183" s="1" t="s">
        <v>74</v>
      </c>
      <c r="BJ183" s="1" t="s">
        <v>74</v>
      </c>
      <c r="BK183" s="1" t="s">
        <v>74</v>
      </c>
      <c r="BL183" s="1" t="s">
        <v>74</v>
      </c>
      <c r="BM183" s="1" t="s">
        <v>74</v>
      </c>
      <c r="BN183" s="1">
        <v>3.3842435E7</v>
      </c>
      <c r="BO183" s="1" t="s">
        <v>74</v>
      </c>
      <c r="BP183" s="1" t="s">
        <v>74</v>
      </c>
      <c r="BQ183" s="1" t="s">
        <v>74</v>
      </c>
      <c r="BR183" s="1" t="s">
        <v>74</v>
      </c>
      <c r="BS183" s="1" t="s">
        <v>2043</v>
      </c>
      <c r="BT183" s="1" t="str">
        <f>HYPERLINK("https%3A%2F%2Fwww.webofscience.com%2Fwos%2Fwoscc%2Ffull-record%2FWOS:000637727700001","View Full Record in Web of Science")</f>
        <v>View Full Record in Web of Science</v>
      </c>
    </row>
    <row r="184" ht="12.75" customHeight="1">
      <c r="A184" s="1" t="s">
        <v>72</v>
      </c>
      <c r="B184" s="1" t="s">
        <v>2044</v>
      </c>
      <c r="C184" s="1" t="s">
        <v>74</v>
      </c>
      <c r="D184" s="1" t="s">
        <v>74</v>
      </c>
      <c r="E184" s="1" t="s">
        <v>74</v>
      </c>
      <c r="F184" s="1" t="s">
        <v>2045</v>
      </c>
      <c r="G184" s="1" t="s">
        <v>74</v>
      </c>
      <c r="H184" s="1" t="s">
        <v>74</v>
      </c>
      <c r="I184" s="1" t="s">
        <v>2046</v>
      </c>
      <c r="J184" s="1" t="s">
        <v>2047</v>
      </c>
      <c r="K184" s="1" t="s">
        <v>74</v>
      </c>
      <c r="L184" s="1" t="s">
        <v>74</v>
      </c>
      <c r="M184" s="1" t="s">
        <v>74</v>
      </c>
      <c r="N184" s="1" t="s">
        <v>74</v>
      </c>
      <c r="O184" s="1" t="s">
        <v>74</v>
      </c>
      <c r="P184" s="1" t="s">
        <v>74</v>
      </c>
      <c r="Q184" s="1" t="s">
        <v>74</v>
      </c>
      <c r="R184" s="1" t="s">
        <v>74</v>
      </c>
      <c r="S184" s="1" t="s">
        <v>74</v>
      </c>
      <c r="T184" s="1" t="s">
        <v>74</v>
      </c>
      <c r="U184" s="1" t="s">
        <v>74</v>
      </c>
      <c r="V184" s="1" t="s">
        <v>2048</v>
      </c>
      <c r="W184" s="1" t="s">
        <v>74</v>
      </c>
      <c r="X184" s="1" t="s">
        <v>74</v>
      </c>
      <c r="Y184" s="1" t="s">
        <v>74</v>
      </c>
      <c r="Z184" s="1" t="s">
        <v>74</v>
      </c>
      <c r="AA184" s="1" t="s">
        <v>2049</v>
      </c>
      <c r="AB184" s="1" t="s">
        <v>2050</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2051</v>
      </c>
      <c r="AP184" s="1" t="s">
        <v>74</v>
      </c>
      <c r="AQ184" s="1" t="s">
        <v>74</v>
      </c>
      <c r="AR184" s="1" t="s">
        <v>74</v>
      </c>
      <c r="AS184" s="1" t="s">
        <v>74</v>
      </c>
      <c r="AT184" s="1" t="s">
        <v>74</v>
      </c>
      <c r="AU184" s="1">
        <v>2012.0</v>
      </c>
      <c r="AV184" s="1">
        <v>33.0</v>
      </c>
      <c r="AW184" s="1">
        <v>3.0</v>
      </c>
      <c r="AX184" s="1" t="s">
        <v>74</v>
      </c>
      <c r="AY184" s="1" t="s">
        <v>74</v>
      </c>
      <c r="AZ184" s="1" t="s">
        <v>74</v>
      </c>
      <c r="BA184" s="1" t="s">
        <v>74</v>
      </c>
      <c r="BB184" s="1">
        <v>271.0</v>
      </c>
      <c r="BC184" s="1">
        <v>274.0</v>
      </c>
      <c r="BD184" s="1" t="s">
        <v>74</v>
      </c>
      <c r="BE184" s="1" t="s">
        <v>2052</v>
      </c>
      <c r="BF184" s="2" t="str">
        <f>HYPERLINK("http://dx.doi.org/10.4067/S0717-92002012000300007","http://dx.doi.org/10.4067/S0717-92002012000300007")</f>
        <v>http://dx.doi.org/10.4067/S0717-92002012000300007</v>
      </c>
      <c r="BG184" s="1" t="s">
        <v>74</v>
      </c>
      <c r="BH184" s="1" t="s">
        <v>74</v>
      </c>
      <c r="BI184" s="1" t="s">
        <v>74</v>
      </c>
      <c r="BJ184" s="1" t="s">
        <v>74</v>
      </c>
      <c r="BK184" s="1" t="s">
        <v>74</v>
      </c>
      <c r="BL184" s="1" t="s">
        <v>74</v>
      </c>
      <c r="BM184" s="1" t="s">
        <v>74</v>
      </c>
      <c r="BN184" s="1" t="s">
        <v>74</v>
      </c>
      <c r="BO184" s="1" t="s">
        <v>74</v>
      </c>
      <c r="BP184" s="1" t="s">
        <v>74</v>
      </c>
      <c r="BQ184" s="1" t="s">
        <v>74</v>
      </c>
      <c r="BR184" s="1" t="s">
        <v>74</v>
      </c>
      <c r="BS184" s="1" t="s">
        <v>2053</v>
      </c>
      <c r="BT184" s="1" t="str">
        <f>HYPERLINK("https%3A%2F%2Fwww.webofscience.com%2Fwos%2Fwoscc%2Ffull-record%2FWOS:000311806400007","View Full Record in Web of Science")</f>
        <v>View Full Record in Web of Science</v>
      </c>
    </row>
    <row r="185" ht="12.75" customHeight="1">
      <c r="A185" s="1" t="s">
        <v>72</v>
      </c>
      <c r="B185" s="1" t="s">
        <v>2054</v>
      </c>
      <c r="C185" s="1" t="s">
        <v>74</v>
      </c>
      <c r="D185" s="1" t="s">
        <v>74</v>
      </c>
      <c r="E185" s="1" t="s">
        <v>74</v>
      </c>
      <c r="F185" s="1" t="s">
        <v>2055</v>
      </c>
      <c r="G185" s="1" t="s">
        <v>74</v>
      </c>
      <c r="H185" s="1" t="s">
        <v>74</v>
      </c>
      <c r="I185" s="1" t="s">
        <v>2056</v>
      </c>
      <c r="J185" s="1" t="s">
        <v>983</v>
      </c>
      <c r="K185" s="1" t="s">
        <v>74</v>
      </c>
      <c r="L185" s="1" t="s">
        <v>74</v>
      </c>
      <c r="M185" s="1" t="s">
        <v>74</v>
      </c>
      <c r="N185" s="1" t="s">
        <v>74</v>
      </c>
      <c r="O185" s="1" t="s">
        <v>2057</v>
      </c>
      <c r="P185" s="1" t="s">
        <v>2058</v>
      </c>
      <c r="Q185" s="1" t="s">
        <v>2059</v>
      </c>
      <c r="R185" s="1" t="s">
        <v>74</v>
      </c>
      <c r="S185" s="1" t="s">
        <v>74</v>
      </c>
      <c r="T185" s="1" t="s">
        <v>74</v>
      </c>
      <c r="U185" s="1" t="s">
        <v>74</v>
      </c>
      <c r="V185" s="1" t="s">
        <v>2060</v>
      </c>
      <c r="W185" s="1" t="s">
        <v>74</v>
      </c>
      <c r="X185" s="1" t="s">
        <v>74</v>
      </c>
      <c r="Y185" s="1" t="s">
        <v>74</v>
      </c>
      <c r="Z185" s="1" t="s">
        <v>74</v>
      </c>
      <c r="AA185" s="1" t="s">
        <v>2061</v>
      </c>
      <c r="AB185" s="1" t="s">
        <v>2062</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987</v>
      </c>
      <c r="AP185" s="1" t="s">
        <v>74</v>
      </c>
      <c r="AQ185" s="1" t="s">
        <v>74</v>
      </c>
      <c r="AR185" s="1" t="s">
        <v>74</v>
      </c>
      <c r="AS185" s="1" t="s">
        <v>74</v>
      </c>
      <c r="AT185" s="1" t="s">
        <v>2063</v>
      </c>
      <c r="AU185" s="1">
        <v>2011.0</v>
      </c>
      <c r="AV185" s="1">
        <v>30.0</v>
      </c>
      <c r="AW185" s="1">
        <v>18.0</v>
      </c>
      <c r="AX185" s="1" t="s">
        <v>74</v>
      </c>
      <c r="AY185" s="1" t="s">
        <v>74</v>
      </c>
      <c r="AZ185" s="1" t="s">
        <v>448</v>
      </c>
      <c r="BA185" s="1" t="s">
        <v>74</v>
      </c>
      <c r="BB185" s="1">
        <v>3171.0</v>
      </c>
      <c r="BC185" s="1">
        <v>3176.0</v>
      </c>
      <c r="BD185" s="1" t="s">
        <v>74</v>
      </c>
      <c r="BE185" s="1" t="s">
        <v>2064</v>
      </c>
      <c r="BF185" s="2" t="str">
        <f>HYPERLINK("http://dx.doi.org/10.1016/j.poly.2011.03.035","http://dx.doi.org/10.1016/j.poly.2011.03.035")</f>
        <v>http://dx.doi.org/10.1016/j.poly.2011.03.035</v>
      </c>
      <c r="BG185" s="1" t="s">
        <v>74</v>
      </c>
      <c r="BH185" s="1" t="s">
        <v>74</v>
      </c>
      <c r="BI185" s="1" t="s">
        <v>74</v>
      </c>
      <c r="BJ185" s="1" t="s">
        <v>74</v>
      </c>
      <c r="BK185" s="1" t="s">
        <v>74</v>
      </c>
      <c r="BL185" s="1" t="s">
        <v>74</v>
      </c>
      <c r="BM185" s="1" t="s">
        <v>74</v>
      </c>
      <c r="BN185" s="1" t="s">
        <v>74</v>
      </c>
      <c r="BO185" s="1" t="s">
        <v>74</v>
      </c>
      <c r="BP185" s="1" t="s">
        <v>74</v>
      </c>
      <c r="BQ185" s="1" t="s">
        <v>74</v>
      </c>
      <c r="BR185" s="1" t="s">
        <v>74</v>
      </c>
      <c r="BS185" s="1" t="s">
        <v>2065</v>
      </c>
      <c r="BT185" s="1" t="str">
        <f>HYPERLINK("https%3A%2F%2Fwww.webofscience.com%2Fwos%2Fwoscc%2Ffull-record%2FWOS:000298522800040","View Full Record in Web of Science")</f>
        <v>View Full Record in Web of Science</v>
      </c>
    </row>
    <row r="186" ht="12.75" customHeight="1">
      <c r="A186" s="1" t="s">
        <v>72</v>
      </c>
      <c r="B186" s="1" t="s">
        <v>2066</v>
      </c>
      <c r="C186" s="1" t="s">
        <v>74</v>
      </c>
      <c r="D186" s="1" t="s">
        <v>74</v>
      </c>
      <c r="E186" s="1" t="s">
        <v>74</v>
      </c>
      <c r="F186" s="1" t="s">
        <v>2067</v>
      </c>
      <c r="G186" s="1" t="s">
        <v>74</v>
      </c>
      <c r="H186" s="1" t="s">
        <v>74</v>
      </c>
      <c r="I186" s="1" t="s">
        <v>2068</v>
      </c>
      <c r="J186" s="1" t="s">
        <v>2069</v>
      </c>
      <c r="K186" s="1" t="s">
        <v>74</v>
      </c>
      <c r="L186" s="1" t="s">
        <v>74</v>
      </c>
      <c r="M186" s="1" t="s">
        <v>74</v>
      </c>
      <c r="N186" s="1" t="s">
        <v>74</v>
      </c>
      <c r="O186" s="1" t="s">
        <v>74</v>
      </c>
      <c r="P186" s="1" t="s">
        <v>74</v>
      </c>
      <c r="Q186" s="1" t="s">
        <v>74</v>
      </c>
      <c r="R186" s="1" t="s">
        <v>74</v>
      </c>
      <c r="S186" s="1" t="s">
        <v>74</v>
      </c>
      <c r="T186" s="1" t="s">
        <v>74</v>
      </c>
      <c r="U186" s="1" t="s">
        <v>74</v>
      </c>
      <c r="V186" s="1" t="s">
        <v>2070</v>
      </c>
      <c r="W186" s="1" t="s">
        <v>74</v>
      </c>
      <c r="X186" s="1" t="s">
        <v>74</v>
      </c>
      <c r="Y186" s="1" t="s">
        <v>74</v>
      </c>
      <c r="Z186" s="1" t="s">
        <v>74</v>
      </c>
      <c r="AA186" s="1" t="s">
        <v>2071</v>
      </c>
      <c r="AB186" s="1" t="s">
        <v>2072</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2073</v>
      </c>
      <c r="AP186" s="1" t="s">
        <v>2074</v>
      </c>
      <c r="AQ186" s="1" t="s">
        <v>74</v>
      </c>
      <c r="AR186" s="1" t="s">
        <v>74</v>
      </c>
      <c r="AS186" s="1" t="s">
        <v>74</v>
      </c>
      <c r="AT186" s="1" t="s">
        <v>94</v>
      </c>
      <c r="AU186" s="1">
        <v>2024.0</v>
      </c>
      <c r="AV186" s="1">
        <v>148.0</v>
      </c>
      <c r="AW186" s="1" t="s">
        <v>74</v>
      </c>
      <c r="AX186" s="1" t="s">
        <v>74</v>
      </c>
      <c r="AY186" s="1" t="s">
        <v>74</v>
      </c>
      <c r="AZ186" s="1" t="s">
        <v>74</v>
      </c>
      <c r="BA186" s="1" t="s">
        <v>74</v>
      </c>
      <c r="BB186" s="1">
        <v>123.0</v>
      </c>
      <c r="BC186" s="1">
        <v>135.0</v>
      </c>
      <c r="BD186" s="1" t="s">
        <v>74</v>
      </c>
      <c r="BE186" s="1" t="s">
        <v>2075</v>
      </c>
      <c r="BF186" s="2" t="str">
        <f>HYPERLINK("http://dx.doi.org/10.1016/j.fbp.2024.09.003","http://dx.doi.org/10.1016/j.fbp.2024.09.003")</f>
        <v>http://dx.doi.org/10.1016/j.fbp.2024.09.003</v>
      </c>
      <c r="BG186" s="1" t="s">
        <v>74</v>
      </c>
      <c r="BH186" s="1" t="s">
        <v>428</v>
      </c>
      <c r="BI186" s="1" t="s">
        <v>74</v>
      </c>
      <c r="BJ186" s="1" t="s">
        <v>74</v>
      </c>
      <c r="BK186" s="1" t="s">
        <v>74</v>
      </c>
      <c r="BL186" s="1" t="s">
        <v>74</v>
      </c>
      <c r="BM186" s="1" t="s">
        <v>74</v>
      </c>
      <c r="BN186" s="1" t="s">
        <v>74</v>
      </c>
      <c r="BO186" s="1" t="s">
        <v>74</v>
      </c>
      <c r="BP186" s="1" t="s">
        <v>74</v>
      </c>
      <c r="BQ186" s="1" t="s">
        <v>74</v>
      </c>
      <c r="BR186" s="1" t="s">
        <v>74</v>
      </c>
      <c r="BS186" s="1" t="s">
        <v>2076</v>
      </c>
      <c r="BT186" s="1" t="str">
        <f>HYPERLINK("https%3A%2F%2Fwww.webofscience.com%2Fwos%2Fwoscc%2Ffull-record%2FWOS:001317627600001","View Full Record in Web of Science")</f>
        <v>View Full Record in Web of Science</v>
      </c>
    </row>
    <row r="187" ht="12.75" customHeight="1">
      <c r="A187" s="1" t="s">
        <v>72</v>
      </c>
      <c r="B187" s="1" t="s">
        <v>2077</v>
      </c>
      <c r="C187" s="1" t="s">
        <v>74</v>
      </c>
      <c r="D187" s="1" t="s">
        <v>74</v>
      </c>
      <c r="E187" s="1" t="s">
        <v>74</v>
      </c>
      <c r="F187" s="1" t="s">
        <v>2078</v>
      </c>
      <c r="G187" s="1" t="s">
        <v>74</v>
      </c>
      <c r="H187" s="1" t="s">
        <v>74</v>
      </c>
      <c r="I187" s="1" t="s">
        <v>2079</v>
      </c>
      <c r="J187" s="1" t="s">
        <v>2080</v>
      </c>
      <c r="K187" s="1" t="s">
        <v>74</v>
      </c>
      <c r="L187" s="1" t="s">
        <v>74</v>
      </c>
      <c r="M187" s="1" t="s">
        <v>74</v>
      </c>
      <c r="N187" s="1" t="s">
        <v>74</v>
      </c>
      <c r="O187" s="1" t="s">
        <v>74</v>
      </c>
      <c r="P187" s="1" t="s">
        <v>74</v>
      </c>
      <c r="Q187" s="1" t="s">
        <v>74</v>
      </c>
      <c r="R187" s="1" t="s">
        <v>74</v>
      </c>
      <c r="S187" s="1" t="s">
        <v>74</v>
      </c>
      <c r="T187" s="1" t="s">
        <v>74</v>
      </c>
      <c r="U187" s="1" t="s">
        <v>74</v>
      </c>
      <c r="V187" s="1" t="s">
        <v>2081</v>
      </c>
      <c r="W187" s="1" t="s">
        <v>74</v>
      </c>
      <c r="X187" s="1" t="s">
        <v>74</v>
      </c>
      <c r="Y187" s="1" t="s">
        <v>74</v>
      </c>
      <c r="Z187" s="1" t="s">
        <v>74</v>
      </c>
      <c r="AA187" s="1" t="s">
        <v>2082</v>
      </c>
      <c r="AB187" s="1" t="s">
        <v>2083</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2084</v>
      </c>
      <c r="AP187" s="1" t="s">
        <v>2085</v>
      </c>
      <c r="AQ187" s="1" t="s">
        <v>74</v>
      </c>
      <c r="AR187" s="1" t="s">
        <v>74</v>
      </c>
      <c r="AS187" s="1" t="s">
        <v>74</v>
      </c>
      <c r="AT187" s="1" t="s">
        <v>745</v>
      </c>
      <c r="AU187" s="1">
        <v>2024.0</v>
      </c>
      <c r="AV187" s="1">
        <v>122.0</v>
      </c>
      <c r="AW187" s="1" t="s">
        <v>74</v>
      </c>
      <c r="AX187" s="1" t="s">
        <v>74</v>
      </c>
      <c r="AY187" s="1" t="s">
        <v>74</v>
      </c>
      <c r="AZ187" s="1" t="s">
        <v>74</v>
      </c>
      <c r="BA187" s="1" t="s">
        <v>74</v>
      </c>
      <c r="BB187" s="1" t="s">
        <v>74</v>
      </c>
      <c r="BC187" s="1" t="s">
        <v>74</v>
      </c>
      <c r="BD187" s="1">
        <v>105391.0</v>
      </c>
      <c r="BE187" s="1" t="s">
        <v>2086</v>
      </c>
      <c r="BF187" s="2" t="str">
        <f>HYPERLINK("http://dx.doi.org/10.1016/j.archger.2024.105391","http://dx.doi.org/10.1016/j.archger.2024.105391")</f>
        <v>http://dx.doi.org/10.1016/j.archger.2024.105391</v>
      </c>
      <c r="BG187" s="1" t="s">
        <v>74</v>
      </c>
      <c r="BH187" s="1" t="s">
        <v>766</v>
      </c>
      <c r="BI187" s="1" t="s">
        <v>74</v>
      </c>
      <c r="BJ187" s="1" t="s">
        <v>74</v>
      </c>
      <c r="BK187" s="1" t="s">
        <v>74</v>
      </c>
      <c r="BL187" s="1" t="s">
        <v>74</v>
      </c>
      <c r="BM187" s="1" t="s">
        <v>74</v>
      </c>
      <c r="BN187" s="1">
        <v>3.8428268E7</v>
      </c>
      <c r="BO187" s="1" t="s">
        <v>74</v>
      </c>
      <c r="BP187" s="1" t="s">
        <v>74</v>
      </c>
      <c r="BQ187" s="1" t="s">
        <v>74</v>
      </c>
      <c r="BR187" s="1" t="s">
        <v>74</v>
      </c>
      <c r="BS187" s="1" t="s">
        <v>2087</v>
      </c>
      <c r="BT187" s="1" t="str">
        <f>HYPERLINK("https%3A%2F%2Fwww.webofscience.com%2Fwos%2Fwoscc%2Ffull-record%2FWOS:001209357400001","View Full Record in Web of Science")</f>
        <v>View Full Record in Web of Science</v>
      </c>
    </row>
    <row r="188" ht="12.75" customHeight="1">
      <c r="A188" s="1" t="s">
        <v>72</v>
      </c>
      <c r="B188" s="1" t="s">
        <v>2088</v>
      </c>
      <c r="C188" s="1" t="s">
        <v>74</v>
      </c>
      <c r="D188" s="1" t="s">
        <v>74</v>
      </c>
      <c r="E188" s="1" t="s">
        <v>74</v>
      </c>
      <c r="F188" s="1" t="s">
        <v>2089</v>
      </c>
      <c r="G188" s="1" t="s">
        <v>74</v>
      </c>
      <c r="H188" s="1" t="s">
        <v>74</v>
      </c>
      <c r="I188" s="1" t="s">
        <v>2090</v>
      </c>
      <c r="J188" s="1" t="s">
        <v>1716</v>
      </c>
      <c r="K188" s="1" t="s">
        <v>74</v>
      </c>
      <c r="L188" s="1" t="s">
        <v>74</v>
      </c>
      <c r="M188" s="1" t="s">
        <v>74</v>
      </c>
      <c r="N188" s="1" t="s">
        <v>74</v>
      </c>
      <c r="O188" s="1" t="s">
        <v>74</v>
      </c>
      <c r="P188" s="1" t="s">
        <v>74</v>
      </c>
      <c r="Q188" s="1" t="s">
        <v>74</v>
      </c>
      <c r="R188" s="1" t="s">
        <v>74</v>
      </c>
      <c r="S188" s="1" t="s">
        <v>74</v>
      </c>
      <c r="T188" s="1" t="s">
        <v>74</v>
      </c>
      <c r="U188" s="1" t="s">
        <v>74</v>
      </c>
      <c r="V188" s="1" t="s">
        <v>2091</v>
      </c>
      <c r="W188" s="1" t="s">
        <v>74</v>
      </c>
      <c r="X188" s="1" t="s">
        <v>74</v>
      </c>
      <c r="Y188" s="1" t="s">
        <v>74</v>
      </c>
      <c r="Z188" s="1" t="s">
        <v>74</v>
      </c>
      <c r="AA188" s="1" t="s">
        <v>1717</v>
      </c>
      <c r="AB188" s="1" t="s">
        <v>2092</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1719</v>
      </c>
      <c r="AP188" s="1" t="s">
        <v>1720</v>
      </c>
      <c r="AQ188" s="1" t="s">
        <v>74</v>
      </c>
      <c r="AR188" s="1" t="s">
        <v>74</v>
      </c>
      <c r="AS188" s="1" t="s">
        <v>74</v>
      </c>
      <c r="AT188" s="1" t="s">
        <v>392</v>
      </c>
      <c r="AU188" s="1">
        <v>2021.0</v>
      </c>
      <c r="AV188" s="1">
        <v>137.0</v>
      </c>
      <c r="AW188" s="1" t="s">
        <v>74</v>
      </c>
      <c r="AX188" s="1" t="s">
        <v>74</v>
      </c>
      <c r="AY188" s="1" t="s">
        <v>74</v>
      </c>
      <c r="AZ188" s="1" t="s">
        <v>74</v>
      </c>
      <c r="BA188" s="1" t="s">
        <v>74</v>
      </c>
      <c r="BB188" s="1">
        <v>93.0</v>
      </c>
      <c r="BC188" s="1">
        <v>107.0</v>
      </c>
      <c r="BD188" s="1" t="s">
        <v>74</v>
      </c>
      <c r="BE188" s="1" t="s">
        <v>2093</v>
      </c>
      <c r="BF188" s="2" t="str">
        <f>HYPERLINK("http://dx.doi.org/10.1016/j.cortex.2020.12.023","http://dx.doi.org/10.1016/j.cortex.2020.12.023")</f>
        <v>http://dx.doi.org/10.1016/j.cortex.2020.12.023</v>
      </c>
      <c r="BG188" s="1" t="s">
        <v>74</v>
      </c>
      <c r="BH188" s="1" t="s">
        <v>1867</v>
      </c>
      <c r="BI188" s="1" t="s">
        <v>74</v>
      </c>
      <c r="BJ188" s="1" t="s">
        <v>74</v>
      </c>
      <c r="BK188" s="1" t="s">
        <v>74</v>
      </c>
      <c r="BL188" s="1" t="s">
        <v>74</v>
      </c>
      <c r="BM188" s="1" t="s">
        <v>74</v>
      </c>
      <c r="BN188" s="1">
        <v>3.3609899E7</v>
      </c>
      <c r="BO188" s="1" t="s">
        <v>74</v>
      </c>
      <c r="BP188" s="1" t="s">
        <v>74</v>
      </c>
      <c r="BQ188" s="1" t="s">
        <v>74</v>
      </c>
      <c r="BR188" s="1" t="s">
        <v>74</v>
      </c>
      <c r="BS188" s="1" t="s">
        <v>2094</v>
      </c>
      <c r="BT188" s="1" t="str">
        <f>HYPERLINK("https%3A%2F%2Fwww.webofscience.com%2Fwos%2Fwoscc%2Ffull-record%2FWOS:000637809000007","View Full Record in Web of Science")</f>
        <v>View Full Record in Web of Science</v>
      </c>
    </row>
    <row r="189" ht="12.75" customHeight="1">
      <c r="A189" s="1" t="s">
        <v>72</v>
      </c>
      <c r="B189" s="1" t="s">
        <v>2095</v>
      </c>
      <c r="C189" s="1" t="s">
        <v>74</v>
      </c>
      <c r="D189" s="1" t="s">
        <v>74</v>
      </c>
      <c r="E189" s="1" t="s">
        <v>74</v>
      </c>
      <c r="F189" s="1" t="s">
        <v>2096</v>
      </c>
      <c r="G189" s="1" t="s">
        <v>74</v>
      </c>
      <c r="H189" s="1" t="s">
        <v>74</v>
      </c>
      <c r="I189" s="1" t="s">
        <v>2097</v>
      </c>
      <c r="J189" s="1" t="s">
        <v>2098</v>
      </c>
      <c r="K189" s="1" t="s">
        <v>74</v>
      </c>
      <c r="L189" s="1" t="s">
        <v>74</v>
      </c>
      <c r="M189" s="1" t="s">
        <v>74</v>
      </c>
      <c r="N189" s="1" t="s">
        <v>74</v>
      </c>
      <c r="O189" s="1" t="s">
        <v>74</v>
      </c>
      <c r="P189" s="1" t="s">
        <v>74</v>
      </c>
      <c r="Q189" s="1" t="s">
        <v>74</v>
      </c>
      <c r="R189" s="1" t="s">
        <v>74</v>
      </c>
      <c r="S189" s="1" t="s">
        <v>74</v>
      </c>
      <c r="T189" s="1" t="s">
        <v>74</v>
      </c>
      <c r="U189" s="1" t="s">
        <v>74</v>
      </c>
      <c r="V189" s="1" t="s">
        <v>2099</v>
      </c>
      <c r="W189" s="1" t="s">
        <v>74</v>
      </c>
      <c r="X189" s="1" t="s">
        <v>74</v>
      </c>
      <c r="Y189" s="1" t="s">
        <v>74</v>
      </c>
      <c r="Z189" s="1" t="s">
        <v>74</v>
      </c>
      <c r="AA189" s="1" t="s">
        <v>2100</v>
      </c>
      <c r="AB189" s="1" t="s">
        <v>2101</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2102</v>
      </c>
      <c r="AP189" s="1" t="s">
        <v>2103</v>
      </c>
      <c r="AQ189" s="1" t="s">
        <v>74</v>
      </c>
      <c r="AR189" s="1" t="s">
        <v>74</v>
      </c>
      <c r="AS189" s="1" t="s">
        <v>74</v>
      </c>
      <c r="AT189" s="1" t="s">
        <v>2104</v>
      </c>
      <c r="AU189" s="1">
        <v>2020.0</v>
      </c>
      <c r="AV189" s="1">
        <v>403.0</v>
      </c>
      <c r="AW189" s="1" t="s">
        <v>74</v>
      </c>
      <c r="AX189" s="1" t="s">
        <v>74</v>
      </c>
      <c r="AY189" s="1" t="s">
        <v>74</v>
      </c>
      <c r="AZ189" s="1" t="s">
        <v>74</v>
      </c>
      <c r="BA189" s="1" t="s">
        <v>74</v>
      </c>
      <c r="BB189" s="1" t="s">
        <v>74</v>
      </c>
      <c r="BC189" s="1" t="s">
        <v>74</v>
      </c>
      <c r="BD189" s="1">
        <v>105645.0</v>
      </c>
      <c r="BE189" s="1" t="s">
        <v>2105</v>
      </c>
      <c r="BF189" s="2" t="str">
        <f>HYPERLINK("http://dx.doi.org/10.1016/j.sedgeo.2020.105645","http://dx.doi.org/10.1016/j.sedgeo.2020.105645")</f>
        <v>http://dx.doi.org/10.1016/j.sedgeo.2020.105645</v>
      </c>
      <c r="BG189" s="1" t="s">
        <v>74</v>
      </c>
      <c r="BH189" s="1" t="s">
        <v>74</v>
      </c>
      <c r="BI189" s="1" t="s">
        <v>74</v>
      </c>
      <c r="BJ189" s="1" t="s">
        <v>74</v>
      </c>
      <c r="BK189" s="1" t="s">
        <v>74</v>
      </c>
      <c r="BL189" s="1" t="s">
        <v>74</v>
      </c>
      <c r="BM189" s="1" t="s">
        <v>74</v>
      </c>
      <c r="BN189" s="1" t="s">
        <v>74</v>
      </c>
      <c r="BO189" s="1" t="s">
        <v>74</v>
      </c>
      <c r="BP189" s="1" t="s">
        <v>74</v>
      </c>
      <c r="BQ189" s="1" t="s">
        <v>74</v>
      </c>
      <c r="BR189" s="1" t="s">
        <v>74</v>
      </c>
      <c r="BS189" s="1" t="s">
        <v>2106</v>
      </c>
      <c r="BT189" s="1" t="str">
        <f>HYPERLINK("https%3A%2F%2Fwww.webofscience.com%2Fwos%2Fwoscc%2Ffull-record%2FWOS:000536199100001","View Full Record in Web of Science")</f>
        <v>View Full Record in Web of Science</v>
      </c>
    </row>
    <row r="190" ht="12.75" customHeight="1">
      <c r="A190" s="1" t="s">
        <v>72</v>
      </c>
      <c r="B190" s="1" t="s">
        <v>2107</v>
      </c>
      <c r="C190" s="1" t="s">
        <v>74</v>
      </c>
      <c r="D190" s="1" t="s">
        <v>74</v>
      </c>
      <c r="E190" s="1" t="s">
        <v>74</v>
      </c>
      <c r="F190" s="1" t="s">
        <v>2108</v>
      </c>
      <c r="G190" s="1" t="s">
        <v>74</v>
      </c>
      <c r="H190" s="1" t="s">
        <v>74</v>
      </c>
      <c r="I190" s="1" t="s">
        <v>2109</v>
      </c>
      <c r="J190" s="1" t="s">
        <v>2110</v>
      </c>
      <c r="K190" s="1" t="s">
        <v>74</v>
      </c>
      <c r="L190" s="1" t="s">
        <v>74</v>
      </c>
      <c r="M190" s="1" t="s">
        <v>74</v>
      </c>
      <c r="N190" s="1" t="s">
        <v>74</v>
      </c>
      <c r="O190" s="1" t="s">
        <v>74</v>
      </c>
      <c r="P190" s="1" t="s">
        <v>74</v>
      </c>
      <c r="Q190" s="1" t="s">
        <v>74</v>
      </c>
      <c r="R190" s="1" t="s">
        <v>74</v>
      </c>
      <c r="S190" s="1" t="s">
        <v>74</v>
      </c>
      <c r="T190" s="1" t="s">
        <v>74</v>
      </c>
      <c r="U190" s="1" t="s">
        <v>74</v>
      </c>
      <c r="V190" s="1" t="s">
        <v>2111</v>
      </c>
      <c r="W190" s="1" t="s">
        <v>74</v>
      </c>
      <c r="X190" s="1" t="s">
        <v>74</v>
      </c>
      <c r="Y190" s="1" t="s">
        <v>74</v>
      </c>
      <c r="Z190" s="1" t="s">
        <v>74</v>
      </c>
      <c r="AA190" s="1" t="s">
        <v>2112</v>
      </c>
      <c r="AB190" s="1" t="s">
        <v>2113</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2114</v>
      </c>
      <c r="AP190" s="1" t="s">
        <v>2115</v>
      </c>
      <c r="AQ190" s="1" t="s">
        <v>74</v>
      </c>
      <c r="AR190" s="1" t="s">
        <v>74</v>
      </c>
      <c r="AS190" s="1" t="s">
        <v>74</v>
      </c>
      <c r="AT190" s="1" t="s">
        <v>2116</v>
      </c>
      <c r="AU190" s="1">
        <v>2017.0</v>
      </c>
      <c r="AV190" s="1">
        <v>95.0</v>
      </c>
      <c r="AW190" s="1">
        <v>3.0</v>
      </c>
      <c r="AX190" s="1" t="s">
        <v>74</v>
      </c>
      <c r="AY190" s="1" t="s">
        <v>74</v>
      </c>
      <c r="AZ190" s="1" t="s">
        <v>74</v>
      </c>
      <c r="BA190" s="1" t="s">
        <v>74</v>
      </c>
      <c r="BB190" s="1" t="s">
        <v>74</v>
      </c>
      <c r="BC190" s="1" t="s">
        <v>74</v>
      </c>
      <c r="BD190" s="1">
        <v>32138.0</v>
      </c>
      <c r="BE190" s="1" t="s">
        <v>2117</v>
      </c>
      <c r="BF190" s="2" t="str">
        <f>HYPERLINK("http://dx.doi.org/10.1103/PhysRevE.95.032138","http://dx.doi.org/10.1103/PhysRevE.95.032138")</f>
        <v>http://dx.doi.org/10.1103/PhysRevE.95.032138</v>
      </c>
      <c r="BG190" s="1" t="s">
        <v>74</v>
      </c>
      <c r="BH190" s="1" t="s">
        <v>74</v>
      </c>
      <c r="BI190" s="1" t="s">
        <v>74</v>
      </c>
      <c r="BJ190" s="1" t="s">
        <v>74</v>
      </c>
      <c r="BK190" s="1" t="s">
        <v>74</v>
      </c>
      <c r="BL190" s="1" t="s">
        <v>74</v>
      </c>
      <c r="BM190" s="1" t="s">
        <v>74</v>
      </c>
      <c r="BN190" s="1">
        <v>2.8415294E7</v>
      </c>
      <c r="BO190" s="1" t="s">
        <v>74</v>
      </c>
      <c r="BP190" s="1" t="s">
        <v>74</v>
      </c>
      <c r="BQ190" s="1" t="s">
        <v>74</v>
      </c>
      <c r="BR190" s="1" t="s">
        <v>74</v>
      </c>
      <c r="BS190" s="1" t="s">
        <v>2118</v>
      </c>
      <c r="BT190" s="1" t="str">
        <f>HYPERLINK("https%3A%2F%2Fwww.webofscience.com%2Fwos%2Fwoscc%2Ffull-record%2FWOS:000399147600001","View Full Record in Web of Science")</f>
        <v>View Full Record in Web of Science</v>
      </c>
    </row>
    <row r="191" ht="12.75" customHeight="1">
      <c r="A191" s="1" t="s">
        <v>72</v>
      </c>
      <c r="B191" s="1" t="s">
        <v>2119</v>
      </c>
      <c r="C191" s="1" t="s">
        <v>74</v>
      </c>
      <c r="D191" s="1" t="s">
        <v>74</v>
      </c>
      <c r="E191" s="1" t="s">
        <v>74</v>
      </c>
      <c r="F191" s="1" t="s">
        <v>2120</v>
      </c>
      <c r="G191" s="1" t="s">
        <v>74</v>
      </c>
      <c r="H191" s="1" t="s">
        <v>74</v>
      </c>
      <c r="I191" s="1" t="s">
        <v>2121</v>
      </c>
      <c r="J191" s="1" t="s">
        <v>329</v>
      </c>
      <c r="K191" s="1" t="s">
        <v>74</v>
      </c>
      <c r="L191" s="1" t="s">
        <v>74</v>
      </c>
      <c r="M191" s="1" t="s">
        <v>74</v>
      </c>
      <c r="N191" s="1" t="s">
        <v>74</v>
      </c>
      <c r="O191" s="1" t="s">
        <v>74</v>
      </c>
      <c r="P191" s="1" t="s">
        <v>74</v>
      </c>
      <c r="Q191" s="1" t="s">
        <v>74</v>
      </c>
      <c r="R191" s="1" t="s">
        <v>74</v>
      </c>
      <c r="S191" s="1" t="s">
        <v>74</v>
      </c>
      <c r="T191" s="1" t="s">
        <v>74</v>
      </c>
      <c r="U191" s="1" t="s">
        <v>74</v>
      </c>
      <c r="V191" s="1" t="s">
        <v>2122</v>
      </c>
      <c r="W191" s="1" t="s">
        <v>74</v>
      </c>
      <c r="X191" s="1" t="s">
        <v>74</v>
      </c>
      <c r="Y191" s="1" t="s">
        <v>74</v>
      </c>
      <c r="Z191" s="1" t="s">
        <v>74</v>
      </c>
      <c r="AA191" s="1" t="s">
        <v>2123</v>
      </c>
      <c r="AB191" s="1" t="s">
        <v>2124</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333</v>
      </c>
      <c r="AP191" s="1" t="s">
        <v>74</v>
      </c>
      <c r="AQ191" s="1" t="s">
        <v>74</v>
      </c>
      <c r="AR191" s="1" t="s">
        <v>74</v>
      </c>
      <c r="AS191" s="1" t="s">
        <v>74</v>
      </c>
      <c r="AT191" s="1" t="s">
        <v>312</v>
      </c>
      <c r="AU191" s="1">
        <v>2016.0</v>
      </c>
      <c r="AV191" s="1">
        <v>7.0</v>
      </c>
      <c r="AW191" s="1" t="s">
        <v>74</v>
      </c>
      <c r="AX191" s="1" t="s">
        <v>74</v>
      </c>
      <c r="AY191" s="1" t="s">
        <v>74</v>
      </c>
      <c r="AZ191" s="1" t="s">
        <v>74</v>
      </c>
      <c r="BA191" s="1" t="s">
        <v>74</v>
      </c>
      <c r="BB191" s="1" t="s">
        <v>74</v>
      </c>
      <c r="BC191" s="1" t="s">
        <v>74</v>
      </c>
      <c r="BD191" s="1">
        <v>13857.0</v>
      </c>
      <c r="BE191" s="1" t="s">
        <v>2125</v>
      </c>
      <c r="BF191" s="2" t="str">
        <f>HYPERLINK("http://dx.doi.org/10.1038/ncomms13857","http://dx.doi.org/10.1038/ncomms13857")</f>
        <v>http://dx.doi.org/10.1038/ncomms13857</v>
      </c>
      <c r="BG191" s="1" t="s">
        <v>74</v>
      </c>
      <c r="BH191" s="1" t="s">
        <v>74</v>
      </c>
      <c r="BI191" s="1" t="s">
        <v>74</v>
      </c>
      <c r="BJ191" s="1" t="s">
        <v>74</v>
      </c>
      <c r="BK191" s="1" t="s">
        <v>74</v>
      </c>
      <c r="BL191" s="1" t="s">
        <v>74</v>
      </c>
      <c r="BM191" s="1" t="s">
        <v>74</v>
      </c>
      <c r="BN191" s="1">
        <v>2.7976747E7</v>
      </c>
      <c r="BO191" s="1" t="s">
        <v>74</v>
      </c>
      <c r="BP191" s="1" t="s">
        <v>74</v>
      </c>
      <c r="BQ191" s="1" t="s">
        <v>74</v>
      </c>
      <c r="BR191" s="1" t="s">
        <v>74</v>
      </c>
      <c r="BS191" s="1" t="s">
        <v>2126</v>
      </c>
      <c r="BT191" s="1" t="str">
        <f>HYPERLINK("https%3A%2F%2Fwww.webofscience.com%2Fwos%2Fwoscc%2Ffull-record%2FWOS:000390173500001","View Full Record in Web of Science")</f>
        <v>View Full Record in Web of Science</v>
      </c>
    </row>
    <row r="192" ht="12.75" customHeight="1">
      <c r="A192" s="1" t="s">
        <v>72</v>
      </c>
      <c r="B192" s="1" t="s">
        <v>2127</v>
      </c>
      <c r="C192" s="1" t="s">
        <v>74</v>
      </c>
      <c r="D192" s="1" t="s">
        <v>74</v>
      </c>
      <c r="E192" s="1" t="s">
        <v>74</v>
      </c>
      <c r="F192" s="1" t="s">
        <v>2128</v>
      </c>
      <c r="G192" s="1" t="s">
        <v>74</v>
      </c>
      <c r="H192" s="1" t="s">
        <v>74</v>
      </c>
      <c r="I192" s="1" t="s">
        <v>2129</v>
      </c>
      <c r="J192" s="1" t="s">
        <v>2130</v>
      </c>
      <c r="K192" s="1" t="s">
        <v>74</v>
      </c>
      <c r="L192" s="1" t="s">
        <v>74</v>
      </c>
      <c r="M192" s="1" t="s">
        <v>74</v>
      </c>
      <c r="N192" s="1" t="s">
        <v>74</v>
      </c>
      <c r="O192" s="1" t="s">
        <v>74</v>
      </c>
      <c r="P192" s="1" t="s">
        <v>74</v>
      </c>
      <c r="Q192" s="1" t="s">
        <v>74</v>
      </c>
      <c r="R192" s="1" t="s">
        <v>74</v>
      </c>
      <c r="S192" s="1" t="s">
        <v>74</v>
      </c>
      <c r="T192" s="1" t="s">
        <v>74</v>
      </c>
      <c r="U192" s="1" t="s">
        <v>74</v>
      </c>
      <c r="V192" s="1" t="s">
        <v>2131</v>
      </c>
      <c r="W192" s="1" t="s">
        <v>74</v>
      </c>
      <c r="X192" s="1" t="s">
        <v>74</v>
      </c>
      <c r="Y192" s="1" t="s">
        <v>74</v>
      </c>
      <c r="Z192" s="1" t="s">
        <v>74</v>
      </c>
      <c r="AA192" s="1" t="s">
        <v>2132</v>
      </c>
      <c r="AB192" s="1" t="s">
        <v>2133</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2134</v>
      </c>
      <c r="AP192" s="1" t="s">
        <v>2135</v>
      </c>
      <c r="AQ192" s="1" t="s">
        <v>74</v>
      </c>
      <c r="AR192" s="1" t="s">
        <v>74</v>
      </c>
      <c r="AS192" s="1" t="s">
        <v>74</v>
      </c>
      <c r="AT192" s="1" t="s">
        <v>346</v>
      </c>
      <c r="AU192" s="1">
        <v>2015.0</v>
      </c>
      <c r="AV192" s="1">
        <v>121.0</v>
      </c>
      <c r="AW192" s="1" t="s">
        <v>74</v>
      </c>
      <c r="AX192" s="1" t="s">
        <v>74</v>
      </c>
      <c r="AY192" s="1" t="s">
        <v>74</v>
      </c>
      <c r="AZ192" s="1" t="s">
        <v>74</v>
      </c>
      <c r="BA192" s="1" t="s">
        <v>74</v>
      </c>
      <c r="BB192" s="1">
        <v>386.0</v>
      </c>
      <c r="BC192" s="1">
        <v>394.0</v>
      </c>
      <c r="BD192" s="1" t="s">
        <v>74</v>
      </c>
      <c r="BE192" s="1" t="s">
        <v>2136</v>
      </c>
      <c r="BF192" s="2" t="str">
        <f>HYPERLINK("http://dx.doi.org/10.1016/j.compstruct.2014.11.042","http://dx.doi.org/10.1016/j.compstruct.2014.11.042")</f>
        <v>http://dx.doi.org/10.1016/j.compstruct.2014.11.042</v>
      </c>
      <c r="BG192" s="1" t="s">
        <v>74</v>
      </c>
      <c r="BH192" s="1" t="s">
        <v>74</v>
      </c>
      <c r="BI192" s="1" t="s">
        <v>74</v>
      </c>
      <c r="BJ192" s="1" t="s">
        <v>74</v>
      </c>
      <c r="BK192" s="1" t="s">
        <v>74</v>
      </c>
      <c r="BL192" s="1" t="s">
        <v>74</v>
      </c>
      <c r="BM192" s="1" t="s">
        <v>74</v>
      </c>
      <c r="BN192" s="1" t="s">
        <v>74</v>
      </c>
      <c r="BO192" s="1" t="s">
        <v>74</v>
      </c>
      <c r="BP192" s="1" t="s">
        <v>74</v>
      </c>
      <c r="BQ192" s="1" t="s">
        <v>74</v>
      </c>
      <c r="BR192" s="1" t="s">
        <v>74</v>
      </c>
      <c r="BS192" s="1" t="s">
        <v>2137</v>
      </c>
      <c r="BT192" s="1" t="str">
        <f>HYPERLINK("https%3A%2F%2Fwww.webofscience.com%2Fwos%2Fwoscc%2Ffull-record%2FWOS:000348085500037","View Full Record in Web of Science")</f>
        <v>View Full Record in Web of Science</v>
      </c>
    </row>
    <row r="193" ht="12.75" customHeight="1">
      <c r="A193" s="1" t="s">
        <v>72</v>
      </c>
      <c r="B193" s="1" t="s">
        <v>2138</v>
      </c>
      <c r="C193" s="1" t="s">
        <v>74</v>
      </c>
      <c r="D193" s="1" t="s">
        <v>74</v>
      </c>
      <c r="E193" s="1" t="s">
        <v>74</v>
      </c>
      <c r="F193" s="1" t="s">
        <v>2139</v>
      </c>
      <c r="G193" s="1" t="s">
        <v>74</v>
      </c>
      <c r="H193" s="1" t="s">
        <v>74</v>
      </c>
      <c r="I193" s="1" t="s">
        <v>2140</v>
      </c>
      <c r="J193" s="1" t="s">
        <v>2141</v>
      </c>
      <c r="K193" s="1" t="s">
        <v>74</v>
      </c>
      <c r="L193" s="1" t="s">
        <v>74</v>
      </c>
      <c r="M193" s="1" t="s">
        <v>74</v>
      </c>
      <c r="N193" s="1" t="s">
        <v>74</v>
      </c>
      <c r="O193" s="1" t="s">
        <v>74</v>
      </c>
      <c r="P193" s="1" t="s">
        <v>74</v>
      </c>
      <c r="Q193" s="1" t="s">
        <v>74</v>
      </c>
      <c r="R193" s="1" t="s">
        <v>74</v>
      </c>
      <c r="S193" s="1" t="s">
        <v>74</v>
      </c>
      <c r="T193" s="1" t="s">
        <v>74</v>
      </c>
      <c r="U193" s="1" t="s">
        <v>74</v>
      </c>
      <c r="V193" s="1" t="s">
        <v>2142</v>
      </c>
      <c r="W193" s="1" t="s">
        <v>74</v>
      </c>
      <c r="X193" s="1" t="s">
        <v>74</v>
      </c>
      <c r="Y193" s="1" t="s">
        <v>74</v>
      </c>
      <c r="Z193" s="1" t="s">
        <v>74</v>
      </c>
      <c r="AA193" s="1" t="s">
        <v>2143</v>
      </c>
      <c r="AB193" s="1" t="s">
        <v>2144</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2145</v>
      </c>
      <c r="AP193" s="1" t="s">
        <v>2146</v>
      </c>
      <c r="AQ193" s="1" t="s">
        <v>74</v>
      </c>
      <c r="AR193" s="1" t="s">
        <v>74</v>
      </c>
      <c r="AS193" s="1" t="s">
        <v>74</v>
      </c>
      <c r="AT193" s="1" t="s">
        <v>2147</v>
      </c>
      <c r="AU193" s="1">
        <v>2015.0</v>
      </c>
      <c r="AV193" s="1">
        <v>91.0</v>
      </c>
      <c r="AW193" s="1">
        <v>1.0</v>
      </c>
      <c r="AX193" s="1" t="s">
        <v>74</v>
      </c>
      <c r="AY193" s="1" t="s">
        <v>74</v>
      </c>
      <c r="AZ193" s="1" t="s">
        <v>74</v>
      </c>
      <c r="BA193" s="1" t="s">
        <v>74</v>
      </c>
      <c r="BB193" s="1">
        <v>30.0</v>
      </c>
      <c r="BC193" s="1">
        <v>35.0</v>
      </c>
      <c r="BD193" s="1" t="s">
        <v>74</v>
      </c>
      <c r="BE193" s="1" t="s">
        <v>2148</v>
      </c>
      <c r="BF193" s="2" t="str">
        <f>HYPERLINK("http://dx.doi.org/10.1016/j.jped.2014.05.002","http://dx.doi.org/10.1016/j.jped.2014.05.002")</f>
        <v>http://dx.doi.org/10.1016/j.jped.2014.05.002</v>
      </c>
      <c r="BG193" s="1" t="s">
        <v>74</v>
      </c>
      <c r="BH193" s="1" t="s">
        <v>74</v>
      </c>
      <c r="BI193" s="1" t="s">
        <v>74</v>
      </c>
      <c r="BJ193" s="1" t="s">
        <v>74</v>
      </c>
      <c r="BK193" s="1" t="s">
        <v>74</v>
      </c>
      <c r="BL193" s="1" t="s">
        <v>74</v>
      </c>
      <c r="BM193" s="1" t="s">
        <v>74</v>
      </c>
      <c r="BN193" s="1">
        <v>2.5046259E7</v>
      </c>
      <c r="BO193" s="1" t="s">
        <v>74</v>
      </c>
      <c r="BP193" s="1" t="s">
        <v>74</v>
      </c>
      <c r="BQ193" s="1" t="s">
        <v>74</v>
      </c>
      <c r="BR193" s="1" t="s">
        <v>74</v>
      </c>
      <c r="BS193" s="1" t="s">
        <v>2149</v>
      </c>
      <c r="BT193" s="1" t="str">
        <f>HYPERLINK("https%3A%2F%2Fwww.webofscience.com%2Fwos%2Fwoscc%2Ffull-record%2FWOS:000350892300005","View Full Record in Web of Science")</f>
        <v>View Full Record in Web of Science</v>
      </c>
    </row>
    <row r="194" ht="12.75" customHeight="1">
      <c r="A194" s="1" t="s">
        <v>72</v>
      </c>
      <c r="B194" s="1" t="s">
        <v>2150</v>
      </c>
      <c r="C194" s="1" t="s">
        <v>74</v>
      </c>
      <c r="D194" s="1" t="s">
        <v>74</v>
      </c>
      <c r="E194" s="1" t="s">
        <v>74</v>
      </c>
      <c r="F194" s="1" t="s">
        <v>2151</v>
      </c>
      <c r="G194" s="1" t="s">
        <v>74</v>
      </c>
      <c r="H194" s="1" t="s">
        <v>74</v>
      </c>
      <c r="I194" s="1" t="s">
        <v>2152</v>
      </c>
      <c r="J194" s="1" t="s">
        <v>2153</v>
      </c>
      <c r="K194" s="1" t="s">
        <v>74</v>
      </c>
      <c r="L194" s="1" t="s">
        <v>74</v>
      </c>
      <c r="M194" s="1" t="s">
        <v>74</v>
      </c>
      <c r="N194" s="1" t="s">
        <v>74</v>
      </c>
      <c r="O194" s="1" t="s">
        <v>74</v>
      </c>
      <c r="P194" s="1" t="s">
        <v>74</v>
      </c>
      <c r="Q194" s="1" t="s">
        <v>74</v>
      </c>
      <c r="R194" s="1" t="s">
        <v>74</v>
      </c>
      <c r="S194" s="1" t="s">
        <v>74</v>
      </c>
      <c r="T194" s="1" t="s">
        <v>74</v>
      </c>
      <c r="U194" s="1" t="s">
        <v>74</v>
      </c>
      <c r="V194" s="1" t="s">
        <v>2154</v>
      </c>
      <c r="W194" s="1" t="s">
        <v>74</v>
      </c>
      <c r="X194" s="1" t="s">
        <v>74</v>
      </c>
      <c r="Y194" s="1" t="s">
        <v>74</v>
      </c>
      <c r="Z194" s="1" t="s">
        <v>74</v>
      </c>
      <c r="AA194" s="1" t="s">
        <v>2155</v>
      </c>
      <c r="AB194" s="1" t="s">
        <v>2156</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2157</v>
      </c>
      <c r="AP194" s="1" t="s">
        <v>2158</v>
      </c>
      <c r="AQ194" s="1" t="s">
        <v>74</v>
      </c>
      <c r="AR194" s="1" t="s">
        <v>74</v>
      </c>
      <c r="AS194" s="1" t="s">
        <v>74</v>
      </c>
      <c r="AT194" s="1" t="s">
        <v>214</v>
      </c>
      <c r="AU194" s="1">
        <v>2014.0</v>
      </c>
      <c r="AV194" s="1">
        <v>66.0</v>
      </c>
      <c r="AW194" s="1">
        <v>2.0</v>
      </c>
      <c r="AX194" s="1" t="s">
        <v>74</v>
      </c>
      <c r="AY194" s="1" t="s">
        <v>74</v>
      </c>
      <c r="AZ194" s="1" t="s">
        <v>74</v>
      </c>
      <c r="BA194" s="1" t="s">
        <v>74</v>
      </c>
      <c r="BB194" s="1">
        <v>155.0</v>
      </c>
      <c r="BC194" s="1">
        <v>161.0</v>
      </c>
      <c r="BD194" s="1" t="s">
        <v>74</v>
      </c>
      <c r="BE194" s="1" t="s">
        <v>2159</v>
      </c>
      <c r="BF194" s="2" t="str">
        <f>HYPERLINK("http://dx.doi.org/10.1007/s00244-013-9960-y","http://dx.doi.org/10.1007/s00244-013-9960-y")</f>
        <v>http://dx.doi.org/10.1007/s00244-013-9960-y</v>
      </c>
      <c r="BG194" s="1" t="s">
        <v>74</v>
      </c>
      <c r="BH194" s="1" t="s">
        <v>74</v>
      </c>
      <c r="BI194" s="1" t="s">
        <v>74</v>
      </c>
      <c r="BJ194" s="1" t="s">
        <v>74</v>
      </c>
      <c r="BK194" s="1" t="s">
        <v>74</v>
      </c>
      <c r="BL194" s="1" t="s">
        <v>74</v>
      </c>
      <c r="BM194" s="1" t="s">
        <v>74</v>
      </c>
      <c r="BN194" s="1">
        <v>2.4165784E7</v>
      </c>
      <c r="BO194" s="1" t="s">
        <v>74</v>
      </c>
      <c r="BP194" s="1" t="s">
        <v>74</v>
      </c>
      <c r="BQ194" s="1" t="s">
        <v>74</v>
      </c>
      <c r="BR194" s="1" t="s">
        <v>74</v>
      </c>
      <c r="BS194" s="1" t="s">
        <v>2160</v>
      </c>
      <c r="BT194" s="1" t="str">
        <f>HYPERLINK("https%3A%2F%2Fwww.webofscience.com%2Fwos%2Fwoscc%2Ffull-record%2FWOS:000331546000001","View Full Record in Web of Science")</f>
        <v>View Full Record in Web of Science</v>
      </c>
    </row>
    <row r="195" ht="12.75" customHeight="1">
      <c r="A195" s="1" t="s">
        <v>72</v>
      </c>
      <c r="B195" s="1" t="s">
        <v>2161</v>
      </c>
      <c r="C195" s="1" t="s">
        <v>74</v>
      </c>
      <c r="D195" s="1" t="s">
        <v>74</v>
      </c>
      <c r="E195" s="1" t="s">
        <v>74</v>
      </c>
      <c r="F195" s="1" t="s">
        <v>2162</v>
      </c>
      <c r="G195" s="1" t="s">
        <v>74</v>
      </c>
      <c r="H195" s="1" t="s">
        <v>74</v>
      </c>
      <c r="I195" s="1" t="s">
        <v>2163</v>
      </c>
      <c r="J195" s="1" t="s">
        <v>147</v>
      </c>
      <c r="K195" s="1" t="s">
        <v>74</v>
      </c>
      <c r="L195" s="1" t="s">
        <v>74</v>
      </c>
      <c r="M195" s="1" t="s">
        <v>74</v>
      </c>
      <c r="N195" s="1" t="s">
        <v>74</v>
      </c>
      <c r="O195" s="1" t="s">
        <v>74</v>
      </c>
      <c r="P195" s="1" t="s">
        <v>74</v>
      </c>
      <c r="Q195" s="1" t="s">
        <v>74</v>
      </c>
      <c r="R195" s="1" t="s">
        <v>74</v>
      </c>
      <c r="S195" s="1" t="s">
        <v>74</v>
      </c>
      <c r="T195" s="1" t="s">
        <v>74</v>
      </c>
      <c r="U195" s="1" t="s">
        <v>74</v>
      </c>
      <c r="V195" s="1" t="s">
        <v>2164</v>
      </c>
      <c r="W195" s="1" t="s">
        <v>74</v>
      </c>
      <c r="X195" s="1" t="s">
        <v>74</v>
      </c>
      <c r="Y195" s="1" t="s">
        <v>74</v>
      </c>
      <c r="Z195" s="1" t="s">
        <v>74</v>
      </c>
      <c r="AA195" s="1" t="s">
        <v>2165</v>
      </c>
      <c r="AB195" s="1" t="s">
        <v>2166</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151</v>
      </c>
      <c r="AP195" s="1" t="s">
        <v>74</v>
      </c>
      <c r="AQ195" s="1" t="s">
        <v>74</v>
      </c>
      <c r="AR195" s="1" t="s">
        <v>74</v>
      </c>
      <c r="AS195" s="1" t="s">
        <v>74</v>
      </c>
      <c r="AT195" s="1" t="s">
        <v>2167</v>
      </c>
      <c r="AU195" s="1">
        <v>2012.0</v>
      </c>
      <c r="AV195" s="1">
        <v>7.0</v>
      </c>
      <c r="AW195" s="1">
        <v>1.0</v>
      </c>
      <c r="AX195" s="1" t="s">
        <v>74</v>
      </c>
      <c r="AY195" s="1" t="s">
        <v>74</v>
      </c>
      <c r="AZ195" s="1" t="s">
        <v>74</v>
      </c>
      <c r="BA195" s="1" t="s">
        <v>74</v>
      </c>
      <c r="BB195" s="1" t="s">
        <v>74</v>
      </c>
      <c r="BC195" s="1" t="s">
        <v>74</v>
      </c>
      <c r="BD195" s="1" t="s">
        <v>2168</v>
      </c>
      <c r="BE195" s="1" t="s">
        <v>2169</v>
      </c>
      <c r="BF195" s="2" t="str">
        <f>HYPERLINK("http://dx.doi.org/10.1371/journal.pone.0030741","http://dx.doi.org/10.1371/journal.pone.0030741")</f>
        <v>http://dx.doi.org/10.1371/journal.pone.0030741</v>
      </c>
      <c r="BG195" s="1" t="s">
        <v>74</v>
      </c>
      <c r="BH195" s="1" t="s">
        <v>74</v>
      </c>
      <c r="BI195" s="1" t="s">
        <v>74</v>
      </c>
      <c r="BJ195" s="1" t="s">
        <v>74</v>
      </c>
      <c r="BK195" s="1" t="s">
        <v>74</v>
      </c>
      <c r="BL195" s="1" t="s">
        <v>74</v>
      </c>
      <c r="BM195" s="1" t="s">
        <v>74</v>
      </c>
      <c r="BN195" s="1">
        <v>2.2292028E7</v>
      </c>
      <c r="BO195" s="1" t="s">
        <v>74</v>
      </c>
      <c r="BP195" s="1" t="s">
        <v>74</v>
      </c>
      <c r="BQ195" s="1" t="s">
        <v>74</v>
      </c>
      <c r="BR195" s="1" t="s">
        <v>74</v>
      </c>
      <c r="BS195" s="1" t="s">
        <v>2170</v>
      </c>
      <c r="BT195" s="1" t="str">
        <f>HYPERLINK("https%3A%2F%2Fwww.webofscience.com%2Fwos%2Fwoscc%2Ffull-record%2FWOS:000301570600074","View Full Record in Web of Science")</f>
        <v>View Full Record in Web of Science</v>
      </c>
    </row>
    <row r="196" ht="12.75" customHeight="1">
      <c r="A196" s="1" t="s">
        <v>72</v>
      </c>
      <c r="B196" s="1" t="s">
        <v>2171</v>
      </c>
      <c r="C196" s="1" t="s">
        <v>74</v>
      </c>
      <c r="D196" s="1" t="s">
        <v>74</v>
      </c>
      <c r="E196" s="1" t="s">
        <v>74</v>
      </c>
      <c r="F196" s="1" t="s">
        <v>2172</v>
      </c>
      <c r="G196" s="1" t="s">
        <v>74</v>
      </c>
      <c r="H196" s="1" t="s">
        <v>74</v>
      </c>
      <c r="I196" s="1" t="s">
        <v>2173</v>
      </c>
      <c r="J196" s="1" t="s">
        <v>2174</v>
      </c>
      <c r="K196" s="1" t="s">
        <v>74</v>
      </c>
      <c r="L196" s="1" t="s">
        <v>74</v>
      </c>
      <c r="M196" s="1" t="s">
        <v>74</v>
      </c>
      <c r="N196" s="1" t="s">
        <v>74</v>
      </c>
      <c r="O196" s="1" t="s">
        <v>74</v>
      </c>
      <c r="P196" s="1" t="s">
        <v>74</v>
      </c>
      <c r="Q196" s="1" t="s">
        <v>74</v>
      </c>
      <c r="R196" s="1" t="s">
        <v>74</v>
      </c>
      <c r="S196" s="1" t="s">
        <v>74</v>
      </c>
      <c r="T196" s="1" t="s">
        <v>74</v>
      </c>
      <c r="U196" s="1" t="s">
        <v>74</v>
      </c>
      <c r="V196" s="1" t="s">
        <v>2175</v>
      </c>
      <c r="W196" s="1" t="s">
        <v>74</v>
      </c>
      <c r="X196" s="1" t="s">
        <v>74</v>
      </c>
      <c r="Y196" s="1" t="s">
        <v>74</v>
      </c>
      <c r="Z196" s="1" t="s">
        <v>74</v>
      </c>
      <c r="AA196" s="1" t="s">
        <v>2176</v>
      </c>
      <c r="AB196" s="1" t="s">
        <v>2177</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2178</v>
      </c>
      <c r="AP196" s="1" t="s">
        <v>74</v>
      </c>
      <c r="AQ196" s="1" t="s">
        <v>74</v>
      </c>
      <c r="AR196" s="1" t="s">
        <v>74</v>
      </c>
      <c r="AS196" s="1" t="s">
        <v>74</v>
      </c>
      <c r="AT196" s="1" t="s">
        <v>2179</v>
      </c>
      <c r="AU196" s="1">
        <v>2011.0</v>
      </c>
      <c r="AV196" s="1">
        <v>108.0</v>
      </c>
      <c r="AW196" s="1">
        <v>45.0</v>
      </c>
      <c r="AX196" s="1" t="s">
        <v>74</v>
      </c>
      <c r="AY196" s="1" t="s">
        <v>74</v>
      </c>
      <c r="AZ196" s="1" t="s">
        <v>74</v>
      </c>
      <c r="BA196" s="1" t="s">
        <v>74</v>
      </c>
      <c r="BB196" s="1">
        <v>18227.0</v>
      </c>
      <c r="BC196" s="1">
        <v>18232.0</v>
      </c>
      <c r="BD196" s="1" t="s">
        <v>74</v>
      </c>
      <c r="BE196" s="1" t="s">
        <v>2180</v>
      </c>
      <c r="BF196" s="2" t="str">
        <f>HYPERLINK("http://dx.doi.org/10.1073/pnas.1108553108","http://dx.doi.org/10.1073/pnas.1108553108")</f>
        <v>http://dx.doi.org/10.1073/pnas.1108553108</v>
      </c>
      <c r="BG196" s="1" t="s">
        <v>74</v>
      </c>
      <c r="BH196" s="1" t="s">
        <v>74</v>
      </c>
      <c r="BI196" s="1" t="s">
        <v>74</v>
      </c>
      <c r="BJ196" s="1" t="s">
        <v>74</v>
      </c>
      <c r="BK196" s="1" t="s">
        <v>74</v>
      </c>
      <c r="BL196" s="1" t="s">
        <v>74</v>
      </c>
      <c r="BM196" s="1" t="s">
        <v>74</v>
      </c>
      <c r="BN196" s="1">
        <v>2.2042841E7</v>
      </c>
      <c r="BO196" s="1" t="s">
        <v>74</v>
      </c>
      <c r="BP196" s="1" t="s">
        <v>74</v>
      </c>
      <c r="BQ196" s="1" t="s">
        <v>74</v>
      </c>
      <c r="BR196" s="1" t="s">
        <v>74</v>
      </c>
      <c r="BS196" s="1" t="s">
        <v>2181</v>
      </c>
      <c r="BT196" s="1" t="str">
        <f>HYPERLINK("https%3A%2F%2Fwww.webofscience.com%2Fwos%2Fwoscc%2Ffull-record%2FWOS:000296700000021","View Full Record in Web of Science")</f>
        <v>View Full Record in Web of Science</v>
      </c>
    </row>
    <row r="197" ht="12.75" customHeight="1">
      <c r="A197" s="1" t="s">
        <v>72</v>
      </c>
      <c r="B197" s="1" t="s">
        <v>2182</v>
      </c>
      <c r="C197" s="1" t="s">
        <v>74</v>
      </c>
      <c r="D197" s="1" t="s">
        <v>74</v>
      </c>
      <c r="E197" s="1" t="s">
        <v>74</v>
      </c>
      <c r="F197" s="1" t="s">
        <v>2183</v>
      </c>
      <c r="G197" s="1" t="s">
        <v>74</v>
      </c>
      <c r="H197" s="1" t="s">
        <v>74</v>
      </c>
      <c r="I197" s="1" t="s">
        <v>2184</v>
      </c>
      <c r="J197" s="1" t="s">
        <v>2185</v>
      </c>
      <c r="K197" s="1" t="s">
        <v>74</v>
      </c>
      <c r="L197" s="1" t="s">
        <v>74</v>
      </c>
      <c r="M197" s="1" t="s">
        <v>74</v>
      </c>
      <c r="N197" s="1" t="s">
        <v>74</v>
      </c>
      <c r="O197" s="1" t="s">
        <v>74</v>
      </c>
      <c r="P197" s="1" t="s">
        <v>74</v>
      </c>
      <c r="Q197" s="1" t="s">
        <v>74</v>
      </c>
      <c r="R197" s="1" t="s">
        <v>74</v>
      </c>
      <c r="S197" s="1" t="s">
        <v>74</v>
      </c>
      <c r="T197" s="1" t="s">
        <v>74</v>
      </c>
      <c r="U197" s="1" t="s">
        <v>74</v>
      </c>
      <c r="V197" s="1" t="s">
        <v>74</v>
      </c>
      <c r="W197" s="1" t="s">
        <v>74</v>
      </c>
      <c r="X197" s="1" t="s">
        <v>74</v>
      </c>
      <c r="Y197" s="1" t="s">
        <v>74</v>
      </c>
      <c r="Z197" s="1" t="s">
        <v>74</v>
      </c>
      <c r="AA197" s="1" t="s">
        <v>2186</v>
      </c>
      <c r="AB197" s="1" t="s">
        <v>2187</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2188</v>
      </c>
      <c r="AP197" s="1" t="s">
        <v>2189</v>
      </c>
      <c r="AQ197" s="1" t="s">
        <v>74</v>
      </c>
      <c r="AR197" s="1" t="s">
        <v>74</v>
      </c>
      <c r="AS197" s="1" t="s">
        <v>74</v>
      </c>
      <c r="AT197" s="1" t="s">
        <v>745</v>
      </c>
      <c r="AU197" s="1">
        <v>2021.0</v>
      </c>
      <c r="AV197" s="1">
        <v>93.0</v>
      </c>
      <c r="AW197" s="1">
        <v>7.0</v>
      </c>
      <c r="AX197" s="1" t="s">
        <v>74</v>
      </c>
      <c r="AY197" s="1" t="s">
        <v>74</v>
      </c>
      <c r="AZ197" s="1" t="s">
        <v>74</v>
      </c>
      <c r="BA197" s="1" t="s">
        <v>74</v>
      </c>
      <c r="BB197" s="1">
        <v>4127.0</v>
      </c>
      <c r="BC197" s="1">
        <v>4129.0</v>
      </c>
      <c r="BD197" s="1" t="s">
        <v>74</v>
      </c>
      <c r="BE197" s="1" t="s">
        <v>2190</v>
      </c>
      <c r="BF197" s="2" t="str">
        <f>HYPERLINK("http://dx.doi.org/10.1002/jmv.27007","http://dx.doi.org/10.1002/jmv.27007")</f>
        <v>http://dx.doi.org/10.1002/jmv.27007</v>
      </c>
      <c r="BG197" s="1" t="s">
        <v>74</v>
      </c>
      <c r="BH197" s="1" t="s">
        <v>241</v>
      </c>
      <c r="BI197" s="1" t="s">
        <v>74</v>
      </c>
      <c r="BJ197" s="1" t="s">
        <v>74</v>
      </c>
      <c r="BK197" s="1" t="s">
        <v>74</v>
      </c>
      <c r="BL197" s="1" t="s">
        <v>74</v>
      </c>
      <c r="BM197" s="1" t="s">
        <v>74</v>
      </c>
      <c r="BN197" s="1">
        <v>3.3837989E7</v>
      </c>
      <c r="BO197" s="1" t="s">
        <v>74</v>
      </c>
      <c r="BP197" s="1" t="s">
        <v>74</v>
      </c>
      <c r="BQ197" s="1" t="s">
        <v>74</v>
      </c>
      <c r="BR197" s="1" t="s">
        <v>74</v>
      </c>
      <c r="BS197" s="1" t="s">
        <v>2191</v>
      </c>
      <c r="BT197" s="1" t="str">
        <f>HYPERLINK("https%3A%2F%2Fwww.webofscience.com%2Fwos%2Fwoscc%2Ffull-record%2FWOS:000642550500001","View Full Record in Web of Science")</f>
        <v>View Full Record in Web of Science</v>
      </c>
    </row>
    <row r="198" ht="12.75" customHeight="1">
      <c r="A198" s="1" t="s">
        <v>72</v>
      </c>
      <c r="B198" s="1" t="s">
        <v>2192</v>
      </c>
      <c r="C198" s="1" t="s">
        <v>74</v>
      </c>
      <c r="D198" s="1" t="s">
        <v>74</v>
      </c>
      <c r="E198" s="1" t="s">
        <v>74</v>
      </c>
      <c r="F198" s="1" t="s">
        <v>2193</v>
      </c>
      <c r="G198" s="1" t="s">
        <v>74</v>
      </c>
      <c r="H198" s="1" t="s">
        <v>74</v>
      </c>
      <c r="I198" s="1" t="s">
        <v>2194</v>
      </c>
      <c r="J198" s="1" t="s">
        <v>294</v>
      </c>
      <c r="K198" s="1" t="s">
        <v>74</v>
      </c>
      <c r="L198" s="1" t="s">
        <v>74</v>
      </c>
      <c r="M198" s="1" t="s">
        <v>74</v>
      </c>
      <c r="N198" s="1" t="s">
        <v>74</v>
      </c>
      <c r="O198" s="1" t="s">
        <v>74</v>
      </c>
      <c r="P198" s="1" t="s">
        <v>74</v>
      </c>
      <c r="Q198" s="1" t="s">
        <v>74</v>
      </c>
      <c r="R198" s="1" t="s">
        <v>74</v>
      </c>
      <c r="S198" s="1" t="s">
        <v>74</v>
      </c>
      <c r="T198" s="1" t="s">
        <v>74</v>
      </c>
      <c r="U198" s="1" t="s">
        <v>74</v>
      </c>
      <c r="V198" s="1" t="s">
        <v>2195</v>
      </c>
      <c r="W198" s="1" t="s">
        <v>74</v>
      </c>
      <c r="X198" s="1" t="s">
        <v>74</v>
      </c>
      <c r="Y198" s="1" t="s">
        <v>74</v>
      </c>
      <c r="Z198" s="1" t="s">
        <v>74</v>
      </c>
      <c r="AA198" s="1" t="s">
        <v>2196</v>
      </c>
      <c r="AB198" s="1" t="s">
        <v>2197</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297</v>
      </c>
      <c r="AP198" s="1" t="s">
        <v>298</v>
      </c>
      <c r="AQ198" s="1" t="s">
        <v>74</v>
      </c>
      <c r="AR198" s="1" t="s">
        <v>74</v>
      </c>
      <c r="AS198" s="1" t="s">
        <v>74</v>
      </c>
      <c r="AT198" s="1" t="s">
        <v>2198</v>
      </c>
      <c r="AU198" s="1">
        <v>2019.0</v>
      </c>
      <c r="AV198" s="1">
        <v>373.0</v>
      </c>
      <c r="AW198" s="1" t="s">
        <v>74</v>
      </c>
      <c r="AX198" s="1" t="s">
        <v>74</v>
      </c>
      <c r="AY198" s="1" t="s">
        <v>74</v>
      </c>
      <c r="AZ198" s="1" t="s">
        <v>74</v>
      </c>
      <c r="BA198" s="1" t="s">
        <v>74</v>
      </c>
      <c r="BB198" s="1">
        <v>810.0</v>
      </c>
      <c r="BC198" s="1">
        <v>819.0</v>
      </c>
      <c r="BD198" s="1" t="s">
        <v>74</v>
      </c>
      <c r="BE198" s="1" t="s">
        <v>2199</v>
      </c>
      <c r="BF198" s="2" t="str">
        <f>HYPERLINK("http://dx.doi.org/10.1016/j.jhazmat.2019.03.125","http://dx.doi.org/10.1016/j.jhazmat.2019.03.125")</f>
        <v>http://dx.doi.org/10.1016/j.jhazmat.2019.03.125</v>
      </c>
      <c r="BG198" s="1" t="s">
        <v>74</v>
      </c>
      <c r="BH198" s="1" t="s">
        <v>74</v>
      </c>
      <c r="BI198" s="1" t="s">
        <v>74</v>
      </c>
      <c r="BJ198" s="1" t="s">
        <v>74</v>
      </c>
      <c r="BK198" s="1" t="s">
        <v>74</v>
      </c>
      <c r="BL198" s="1" t="s">
        <v>74</v>
      </c>
      <c r="BM198" s="1" t="s">
        <v>74</v>
      </c>
      <c r="BN198" s="1">
        <v>3.0974329E7</v>
      </c>
      <c r="BO198" s="1" t="s">
        <v>74</v>
      </c>
      <c r="BP198" s="1" t="s">
        <v>74</v>
      </c>
      <c r="BQ198" s="1" t="s">
        <v>74</v>
      </c>
      <c r="BR198" s="1" t="s">
        <v>74</v>
      </c>
      <c r="BS198" s="1" t="s">
        <v>2200</v>
      </c>
      <c r="BT198" s="1" t="str">
        <f>HYPERLINK("https%3A%2F%2Fwww.webofscience.com%2Fwos%2Fwoscc%2Ffull-record%2FWOS:000472691800086","View Full Record in Web of Science")</f>
        <v>View Full Record in Web of Science</v>
      </c>
    </row>
    <row r="199" ht="12.75" customHeight="1">
      <c r="A199" s="1" t="s">
        <v>72</v>
      </c>
      <c r="B199" s="1" t="s">
        <v>2201</v>
      </c>
      <c r="C199" s="1" t="s">
        <v>74</v>
      </c>
      <c r="D199" s="1" t="s">
        <v>74</v>
      </c>
      <c r="E199" s="1" t="s">
        <v>74</v>
      </c>
      <c r="F199" s="1" t="s">
        <v>2202</v>
      </c>
      <c r="G199" s="1" t="s">
        <v>74</v>
      </c>
      <c r="H199" s="1" t="s">
        <v>74</v>
      </c>
      <c r="I199" s="1" t="s">
        <v>2203</v>
      </c>
      <c r="J199" s="1" t="s">
        <v>2204</v>
      </c>
      <c r="K199" s="1" t="s">
        <v>74</v>
      </c>
      <c r="L199" s="1" t="s">
        <v>74</v>
      </c>
      <c r="M199" s="1" t="s">
        <v>74</v>
      </c>
      <c r="N199" s="1" t="s">
        <v>74</v>
      </c>
      <c r="O199" s="1" t="s">
        <v>74</v>
      </c>
      <c r="P199" s="1" t="s">
        <v>74</v>
      </c>
      <c r="Q199" s="1" t="s">
        <v>74</v>
      </c>
      <c r="R199" s="1" t="s">
        <v>74</v>
      </c>
      <c r="S199" s="1" t="s">
        <v>74</v>
      </c>
      <c r="T199" s="1" t="s">
        <v>74</v>
      </c>
      <c r="U199" s="1" t="s">
        <v>74</v>
      </c>
      <c r="V199" s="1" t="s">
        <v>2205</v>
      </c>
      <c r="W199" s="1" t="s">
        <v>74</v>
      </c>
      <c r="X199" s="1" t="s">
        <v>74</v>
      </c>
      <c r="Y199" s="1" t="s">
        <v>74</v>
      </c>
      <c r="Z199" s="1" t="s">
        <v>74</v>
      </c>
      <c r="AA199" s="1" t="s">
        <v>2206</v>
      </c>
      <c r="AB199" s="1" t="s">
        <v>2207</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2208</v>
      </c>
      <c r="AP199" s="1" t="s">
        <v>2209</v>
      </c>
      <c r="AQ199" s="1" t="s">
        <v>74</v>
      </c>
      <c r="AR199" s="1" t="s">
        <v>74</v>
      </c>
      <c r="AS199" s="1" t="s">
        <v>74</v>
      </c>
      <c r="AT199" s="1" t="s">
        <v>334</v>
      </c>
      <c r="AU199" s="1">
        <v>2016.0</v>
      </c>
      <c r="AV199" s="1">
        <v>50.0</v>
      </c>
      <c r="AW199" s="1">
        <v>4.0</v>
      </c>
      <c r="AX199" s="1" t="s">
        <v>74</v>
      </c>
      <c r="AY199" s="1" t="s">
        <v>74</v>
      </c>
      <c r="AZ199" s="1" t="s">
        <v>74</v>
      </c>
      <c r="BA199" s="1" t="s">
        <v>74</v>
      </c>
      <c r="BB199" s="1">
        <v>325.0</v>
      </c>
      <c r="BC199" s="1">
        <v>355.0</v>
      </c>
      <c r="BD199" s="1" t="s">
        <v>74</v>
      </c>
      <c r="BE199" s="1" t="s">
        <v>2210</v>
      </c>
      <c r="BF199" s="2" t="str">
        <f>HYPERLINK("http://dx.doi.org/10.1177/1069397116663857","http://dx.doi.org/10.1177/1069397116663857")</f>
        <v>http://dx.doi.org/10.1177/1069397116663857</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2211</v>
      </c>
      <c r="BT199" s="1" t="str">
        <f>HYPERLINK("https%3A%2F%2Fwww.webofscience.com%2Fwos%2Fwoscc%2Ffull-record%2FWOS:000382994500002","View Full Record in Web of Science")</f>
        <v>View Full Record in Web of Science</v>
      </c>
    </row>
    <row r="200" ht="12.75" customHeight="1">
      <c r="A200" s="1" t="s">
        <v>72</v>
      </c>
      <c r="B200" s="1" t="s">
        <v>2212</v>
      </c>
      <c r="C200" s="1" t="s">
        <v>74</v>
      </c>
      <c r="D200" s="1" t="s">
        <v>74</v>
      </c>
      <c r="E200" s="1" t="s">
        <v>74</v>
      </c>
      <c r="F200" s="1" t="s">
        <v>2213</v>
      </c>
      <c r="G200" s="1" t="s">
        <v>74</v>
      </c>
      <c r="H200" s="1" t="s">
        <v>74</v>
      </c>
      <c r="I200" s="1" t="s">
        <v>2214</v>
      </c>
      <c r="J200" s="1" t="s">
        <v>2215</v>
      </c>
      <c r="K200" s="1" t="s">
        <v>74</v>
      </c>
      <c r="L200" s="1" t="s">
        <v>74</v>
      </c>
      <c r="M200" s="1" t="s">
        <v>74</v>
      </c>
      <c r="N200" s="1" t="s">
        <v>74</v>
      </c>
      <c r="O200" s="1" t="s">
        <v>74</v>
      </c>
      <c r="P200" s="1" t="s">
        <v>74</v>
      </c>
      <c r="Q200" s="1" t="s">
        <v>74</v>
      </c>
      <c r="R200" s="1" t="s">
        <v>74</v>
      </c>
      <c r="S200" s="1" t="s">
        <v>74</v>
      </c>
      <c r="T200" s="1" t="s">
        <v>74</v>
      </c>
      <c r="U200" s="1" t="s">
        <v>74</v>
      </c>
      <c r="V200" s="1" t="s">
        <v>2216</v>
      </c>
      <c r="W200" s="1" t="s">
        <v>74</v>
      </c>
      <c r="X200" s="1" t="s">
        <v>74</v>
      </c>
      <c r="Y200" s="1" t="s">
        <v>74</v>
      </c>
      <c r="Z200" s="1" t="s">
        <v>74</v>
      </c>
      <c r="AA200" s="1" t="s">
        <v>2217</v>
      </c>
      <c r="AB200" s="1" t="s">
        <v>2218</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2219</v>
      </c>
      <c r="AP200" s="1" t="s">
        <v>2220</v>
      </c>
      <c r="AQ200" s="1" t="s">
        <v>74</v>
      </c>
      <c r="AR200" s="1" t="s">
        <v>74</v>
      </c>
      <c r="AS200" s="1" t="s">
        <v>74</v>
      </c>
      <c r="AT200" s="1" t="s">
        <v>94</v>
      </c>
      <c r="AU200" s="1">
        <v>2014.0</v>
      </c>
      <c r="AV200" s="1">
        <v>55.0</v>
      </c>
      <c r="AW200" s="1">
        <v>8.0</v>
      </c>
      <c r="AX200" s="1" t="s">
        <v>74</v>
      </c>
      <c r="AY200" s="1" t="s">
        <v>74</v>
      </c>
      <c r="AZ200" s="1" t="s">
        <v>74</v>
      </c>
      <c r="BA200" s="1" t="s">
        <v>74</v>
      </c>
      <c r="BB200" s="1">
        <v>1453.0</v>
      </c>
      <c r="BC200" s="1">
        <v>1465.0</v>
      </c>
      <c r="BD200" s="1" t="s">
        <v>74</v>
      </c>
      <c r="BE200" s="1" t="s">
        <v>2221</v>
      </c>
      <c r="BF200" s="2" t="str">
        <f>HYPERLINK("http://dx.doi.org/10.1134/S0022476614080125","http://dx.doi.org/10.1134/S0022476614080125")</f>
        <v>http://dx.doi.org/10.1134/S0022476614080125</v>
      </c>
      <c r="BG200" s="1" t="s">
        <v>74</v>
      </c>
      <c r="BH200" s="1" t="s">
        <v>74</v>
      </c>
      <c r="BI200" s="1" t="s">
        <v>74</v>
      </c>
      <c r="BJ200" s="1" t="s">
        <v>74</v>
      </c>
      <c r="BK200" s="1" t="s">
        <v>74</v>
      </c>
      <c r="BL200" s="1" t="s">
        <v>74</v>
      </c>
      <c r="BM200" s="1" t="s">
        <v>74</v>
      </c>
      <c r="BN200" s="1" t="s">
        <v>74</v>
      </c>
      <c r="BO200" s="1" t="s">
        <v>74</v>
      </c>
      <c r="BP200" s="1" t="s">
        <v>74</v>
      </c>
      <c r="BQ200" s="1" t="s">
        <v>74</v>
      </c>
      <c r="BR200" s="1" t="s">
        <v>74</v>
      </c>
      <c r="BS200" s="1" t="s">
        <v>2222</v>
      </c>
      <c r="BT200" s="1" t="str">
        <f>HYPERLINK("https%3A%2F%2Fwww.webofscience.com%2Fwos%2Fwoscc%2Ffull-record%2FWOS:000348920200005","View Full Record in Web of Science")</f>
        <v>View Full Record in Web of Science</v>
      </c>
    </row>
    <row r="201" ht="12.75" customHeight="1">
      <c r="A201" s="1" t="s">
        <v>72</v>
      </c>
      <c r="B201" s="1" t="s">
        <v>2223</v>
      </c>
      <c r="C201" s="1" t="s">
        <v>74</v>
      </c>
      <c r="D201" s="1" t="s">
        <v>74</v>
      </c>
      <c r="E201" s="1" t="s">
        <v>74</v>
      </c>
      <c r="F201" s="1" t="s">
        <v>2224</v>
      </c>
      <c r="G201" s="1" t="s">
        <v>74</v>
      </c>
      <c r="H201" s="1" t="s">
        <v>74</v>
      </c>
      <c r="I201" s="1" t="s">
        <v>2225</v>
      </c>
      <c r="J201" s="1" t="s">
        <v>2226</v>
      </c>
      <c r="K201" s="1" t="s">
        <v>74</v>
      </c>
      <c r="L201" s="1" t="s">
        <v>74</v>
      </c>
      <c r="M201" s="1" t="s">
        <v>74</v>
      </c>
      <c r="N201" s="1" t="s">
        <v>74</v>
      </c>
      <c r="O201" s="1" t="s">
        <v>74</v>
      </c>
      <c r="P201" s="1" t="s">
        <v>74</v>
      </c>
      <c r="Q201" s="1" t="s">
        <v>74</v>
      </c>
      <c r="R201" s="1" t="s">
        <v>74</v>
      </c>
      <c r="S201" s="1" t="s">
        <v>74</v>
      </c>
      <c r="T201" s="1" t="s">
        <v>74</v>
      </c>
      <c r="U201" s="1" t="s">
        <v>74</v>
      </c>
      <c r="V201" s="1" t="s">
        <v>2227</v>
      </c>
      <c r="W201" s="1" t="s">
        <v>74</v>
      </c>
      <c r="X201" s="1" t="s">
        <v>74</v>
      </c>
      <c r="Y201" s="1" t="s">
        <v>74</v>
      </c>
      <c r="Z201" s="1" t="s">
        <v>74</v>
      </c>
      <c r="AA201" s="1" t="s">
        <v>2228</v>
      </c>
      <c r="AB201" s="1" t="s">
        <v>2229</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2230</v>
      </c>
      <c r="AP201" s="1" t="s">
        <v>2231</v>
      </c>
      <c r="AQ201" s="1" t="s">
        <v>74</v>
      </c>
      <c r="AR201" s="1" t="s">
        <v>74</v>
      </c>
      <c r="AS201" s="1" t="s">
        <v>74</v>
      </c>
      <c r="AT201" s="1" t="s">
        <v>74</v>
      </c>
      <c r="AU201" s="1">
        <v>2014.0</v>
      </c>
      <c r="AV201" s="1">
        <v>38.0</v>
      </c>
      <c r="AW201" s="1">
        <v>2.0</v>
      </c>
      <c r="AX201" s="1" t="s">
        <v>74</v>
      </c>
      <c r="AY201" s="1" t="s">
        <v>74</v>
      </c>
      <c r="AZ201" s="1" t="s">
        <v>74</v>
      </c>
      <c r="BA201" s="1" t="s">
        <v>74</v>
      </c>
      <c r="BB201" s="1">
        <v>837.0</v>
      </c>
      <c r="BC201" s="1">
        <v>844.0</v>
      </c>
      <c r="BD201" s="1" t="s">
        <v>74</v>
      </c>
      <c r="BE201" s="1" t="s">
        <v>2232</v>
      </c>
      <c r="BF201" s="2" t="str">
        <f>HYPERLINK("http://dx.doi.org/10.1039/c3nj01040f","http://dx.doi.org/10.1039/c3nj01040f")</f>
        <v>http://dx.doi.org/10.1039/c3nj01040f</v>
      </c>
      <c r="BG201" s="1" t="s">
        <v>74</v>
      </c>
      <c r="BH201" s="1" t="s">
        <v>74</v>
      </c>
      <c r="BI201" s="1" t="s">
        <v>74</v>
      </c>
      <c r="BJ201" s="1" t="s">
        <v>74</v>
      </c>
      <c r="BK201" s="1" t="s">
        <v>74</v>
      </c>
      <c r="BL201" s="1" t="s">
        <v>74</v>
      </c>
      <c r="BM201" s="1" t="s">
        <v>74</v>
      </c>
      <c r="BN201" s="1" t="s">
        <v>74</v>
      </c>
      <c r="BO201" s="1" t="s">
        <v>74</v>
      </c>
      <c r="BP201" s="1" t="s">
        <v>74</v>
      </c>
      <c r="BQ201" s="1" t="s">
        <v>74</v>
      </c>
      <c r="BR201" s="1" t="s">
        <v>74</v>
      </c>
      <c r="BS201" s="1" t="s">
        <v>2233</v>
      </c>
      <c r="BT201" s="1" t="str">
        <f>HYPERLINK("https%3A%2F%2Fwww.webofscience.com%2Fwos%2Fwoscc%2Ffull-record%2FWOS:000330043700052","View Full Record in Web of Science")</f>
        <v>View Full Record in Web of Science</v>
      </c>
    </row>
    <row r="202" ht="12.75" customHeight="1">
      <c r="A202" s="1" t="s">
        <v>72</v>
      </c>
      <c r="B202" s="1" t="s">
        <v>2234</v>
      </c>
      <c r="C202" s="1" t="s">
        <v>74</v>
      </c>
      <c r="D202" s="1" t="s">
        <v>74</v>
      </c>
      <c r="E202" s="1" t="s">
        <v>74</v>
      </c>
      <c r="F202" s="1" t="s">
        <v>2235</v>
      </c>
      <c r="G202" s="1" t="s">
        <v>74</v>
      </c>
      <c r="H202" s="1" t="s">
        <v>74</v>
      </c>
      <c r="I202" s="1" t="s">
        <v>2236</v>
      </c>
      <c r="J202" s="1" t="s">
        <v>1003</v>
      </c>
      <c r="K202" s="1" t="s">
        <v>74</v>
      </c>
      <c r="L202" s="1" t="s">
        <v>74</v>
      </c>
      <c r="M202" s="1" t="s">
        <v>74</v>
      </c>
      <c r="N202" s="1" t="s">
        <v>74</v>
      </c>
      <c r="O202" s="1" t="s">
        <v>74</v>
      </c>
      <c r="P202" s="1" t="s">
        <v>74</v>
      </c>
      <c r="Q202" s="1" t="s">
        <v>74</v>
      </c>
      <c r="R202" s="1" t="s">
        <v>74</v>
      </c>
      <c r="S202" s="1" t="s">
        <v>74</v>
      </c>
      <c r="T202" s="1" t="s">
        <v>74</v>
      </c>
      <c r="U202" s="1" t="s">
        <v>74</v>
      </c>
      <c r="V202" s="1" t="s">
        <v>2237</v>
      </c>
      <c r="W202" s="1" t="s">
        <v>74</v>
      </c>
      <c r="X202" s="1" t="s">
        <v>74</v>
      </c>
      <c r="Y202" s="1" t="s">
        <v>74</v>
      </c>
      <c r="Z202" s="1" t="s">
        <v>74</v>
      </c>
      <c r="AA202" s="1" t="s">
        <v>2238</v>
      </c>
      <c r="AB202" s="1" t="s">
        <v>2239</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1006</v>
      </c>
      <c r="AP202" s="1" t="s">
        <v>1007</v>
      </c>
      <c r="AQ202" s="1" t="s">
        <v>74</v>
      </c>
      <c r="AR202" s="1" t="s">
        <v>74</v>
      </c>
      <c r="AS202" s="1" t="s">
        <v>74</v>
      </c>
      <c r="AT202" s="1" t="s">
        <v>334</v>
      </c>
      <c r="AU202" s="1">
        <v>2021.0</v>
      </c>
      <c r="AV202" s="1">
        <v>149.0</v>
      </c>
      <c r="AW202" s="1">
        <v>10.0</v>
      </c>
      <c r="AX202" s="1" t="s">
        <v>74</v>
      </c>
      <c r="AY202" s="1" t="s">
        <v>74</v>
      </c>
      <c r="AZ202" s="1" t="s">
        <v>74</v>
      </c>
      <c r="BA202" s="1" t="s">
        <v>74</v>
      </c>
      <c r="BB202" s="1">
        <v>1473.0</v>
      </c>
      <c r="BC202" s="1">
        <v>1484.0</v>
      </c>
      <c r="BD202" s="1" t="s">
        <v>74</v>
      </c>
      <c r="BE202" s="1" t="s">
        <v>74</v>
      </c>
      <c r="BF202" s="1" t="s">
        <v>74</v>
      </c>
      <c r="BG202" s="1" t="s">
        <v>74</v>
      </c>
      <c r="BH202" s="1" t="s">
        <v>74</v>
      </c>
      <c r="BI202" s="1" t="s">
        <v>74</v>
      </c>
      <c r="BJ202" s="1" t="s">
        <v>74</v>
      </c>
      <c r="BK202" s="1" t="s">
        <v>74</v>
      </c>
      <c r="BL202" s="1" t="s">
        <v>74</v>
      </c>
      <c r="BM202" s="1" t="s">
        <v>74</v>
      </c>
      <c r="BN202" s="1">
        <v>3.5319637E7</v>
      </c>
      <c r="BO202" s="1" t="s">
        <v>74</v>
      </c>
      <c r="BP202" s="1" t="s">
        <v>74</v>
      </c>
      <c r="BQ202" s="1" t="s">
        <v>74</v>
      </c>
      <c r="BR202" s="1" t="s">
        <v>74</v>
      </c>
      <c r="BS202" s="1" t="s">
        <v>2240</v>
      </c>
      <c r="BT202" s="1" t="str">
        <f>HYPERLINK("https%3A%2F%2Fwww.webofscience.com%2Fwos%2Fwoscc%2Ffull-record%2FWOS:000770198800010","View Full Record in Web of Science")</f>
        <v>View Full Record in Web of Science</v>
      </c>
    </row>
    <row r="203" ht="12.75" customHeight="1">
      <c r="A203" s="1" t="s">
        <v>72</v>
      </c>
      <c r="B203" s="1" t="s">
        <v>2241</v>
      </c>
      <c r="C203" s="1" t="s">
        <v>74</v>
      </c>
      <c r="D203" s="1" t="s">
        <v>74</v>
      </c>
      <c r="E203" s="1" t="s">
        <v>74</v>
      </c>
      <c r="F203" s="1" t="s">
        <v>2242</v>
      </c>
      <c r="G203" s="1" t="s">
        <v>74</v>
      </c>
      <c r="H203" s="1" t="s">
        <v>74</v>
      </c>
      <c r="I203" s="1" t="s">
        <v>2243</v>
      </c>
      <c r="J203" s="1" t="s">
        <v>2244</v>
      </c>
      <c r="K203" s="1" t="s">
        <v>74</v>
      </c>
      <c r="L203" s="1" t="s">
        <v>74</v>
      </c>
      <c r="M203" s="1" t="s">
        <v>74</v>
      </c>
      <c r="N203" s="1" t="s">
        <v>74</v>
      </c>
      <c r="O203" s="1" t="s">
        <v>74</v>
      </c>
      <c r="P203" s="1" t="s">
        <v>74</v>
      </c>
      <c r="Q203" s="1" t="s">
        <v>74</v>
      </c>
      <c r="R203" s="1" t="s">
        <v>74</v>
      </c>
      <c r="S203" s="1" t="s">
        <v>74</v>
      </c>
      <c r="T203" s="1" t="s">
        <v>74</v>
      </c>
      <c r="U203" s="1" t="s">
        <v>74</v>
      </c>
      <c r="V203" s="1" t="s">
        <v>2245</v>
      </c>
      <c r="W203" s="1" t="s">
        <v>74</v>
      </c>
      <c r="X203" s="1" t="s">
        <v>74</v>
      </c>
      <c r="Y203" s="1" t="s">
        <v>74</v>
      </c>
      <c r="Z203" s="1" t="s">
        <v>74</v>
      </c>
      <c r="AA203" s="1" t="s">
        <v>2246</v>
      </c>
      <c r="AB203" s="1" t="s">
        <v>2247</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2248</v>
      </c>
      <c r="AP203" s="1" t="s">
        <v>2249</v>
      </c>
      <c r="AQ203" s="1" t="s">
        <v>74</v>
      </c>
      <c r="AR203" s="1" t="s">
        <v>74</v>
      </c>
      <c r="AS203" s="1" t="s">
        <v>74</v>
      </c>
      <c r="AT203" s="1" t="s">
        <v>94</v>
      </c>
      <c r="AU203" s="1">
        <v>2019.0</v>
      </c>
      <c r="AV203" s="1">
        <v>12.0</v>
      </c>
      <c r="AW203" s="1">
        <v>4.0</v>
      </c>
      <c r="AX203" s="1" t="s">
        <v>74</v>
      </c>
      <c r="AY203" s="1" t="s">
        <v>74</v>
      </c>
      <c r="AZ203" s="1" t="s">
        <v>74</v>
      </c>
      <c r="BA203" s="1" t="s">
        <v>74</v>
      </c>
      <c r="BB203" s="1">
        <v>1315.0</v>
      </c>
      <c r="BC203" s="1">
        <v>1367.0</v>
      </c>
      <c r="BD203" s="1" t="s">
        <v>74</v>
      </c>
      <c r="BE203" s="1" t="s">
        <v>2250</v>
      </c>
      <c r="BF203" s="2" t="str">
        <f>HYPERLINK("http://dx.doi.org/10.1112/topo.12118","http://dx.doi.org/10.1112/topo.12118")</f>
        <v>http://dx.doi.org/10.1112/topo.12118</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2251</v>
      </c>
      <c r="BT203" s="1" t="str">
        <f>HYPERLINK("https%3A%2F%2Fwww.webofscience.com%2Fwos%2Fwoscc%2Ffull-record%2FWOS:000512607800009","View Full Record in Web of Science")</f>
        <v>View Full Record in Web of Science</v>
      </c>
    </row>
    <row r="204" ht="12.75" customHeight="1">
      <c r="A204" s="1" t="s">
        <v>72</v>
      </c>
      <c r="B204" s="1" t="s">
        <v>2252</v>
      </c>
      <c r="C204" s="1" t="s">
        <v>74</v>
      </c>
      <c r="D204" s="1" t="s">
        <v>74</v>
      </c>
      <c r="E204" s="1" t="s">
        <v>74</v>
      </c>
      <c r="F204" s="1" t="s">
        <v>2253</v>
      </c>
      <c r="G204" s="1" t="s">
        <v>74</v>
      </c>
      <c r="H204" s="1" t="s">
        <v>74</v>
      </c>
      <c r="I204" s="1" t="s">
        <v>2254</v>
      </c>
      <c r="J204" s="1" t="s">
        <v>2255</v>
      </c>
      <c r="K204" s="1" t="s">
        <v>74</v>
      </c>
      <c r="L204" s="1" t="s">
        <v>74</v>
      </c>
      <c r="M204" s="1" t="s">
        <v>74</v>
      </c>
      <c r="N204" s="1" t="s">
        <v>74</v>
      </c>
      <c r="O204" s="1" t="s">
        <v>74</v>
      </c>
      <c r="P204" s="1" t="s">
        <v>74</v>
      </c>
      <c r="Q204" s="1" t="s">
        <v>74</v>
      </c>
      <c r="R204" s="1" t="s">
        <v>74</v>
      </c>
      <c r="S204" s="1" t="s">
        <v>74</v>
      </c>
      <c r="T204" s="1" t="s">
        <v>74</v>
      </c>
      <c r="U204" s="1" t="s">
        <v>74</v>
      </c>
      <c r="V204" s="1" t="s">
        <v>2256</v>
      </c>
      <c r="W204" s="1" t="s">
        <v>74</v>
      </c>
      <c r="X204" s="1" t="s">
        <v>74</v>
      </c>
      <c r="Y204" s="1" t="s">
        <v>74</v>
      </c>
      <c r="Z204" s="1" t="s">
        <v>74</v>
      </c>
      <c r="AA204" s="1" t="s">
        <v>2257</v>
      </c>
      <c r="AB204" s="1" t="s">
        <v>2258</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2259</v>
      </c>
      <c r="AP204" s="1" t="s">
        <v>2260</v>
      </c>
      <c r="AQ204" s="1" t="s">
        <v>74</v>
      </c>
      <c r="AR204" s="1" t="s">
        <v>74</v>
      </c>
      <c r="AS204" s="1" t="s">
        <v>74</v>
      </c>
      <c r="AT204" s="1" t="s">
        <v>214</v>
      </c>
      <c r="AU204" s="1">
        <v>2025.0</v>
      </c>
      <c r="AV204" s="1">
        <v>51.0</v>
      </c>
      <c r="AW204" s="1">
        <v>5.0</v>
      </c>
      <c r="AX204" s="1" t="s">
        <v>74</v>
      </c>
      <c r="AY204" s="1" t="s">
        <v>74</v>
      </c>
      <c r="AZ204" s="1" t="s">
        <v>74</v>
      </c>
      <c r="BA204" s="1" t="s">
        <v>74</v>
      </c>
      <c r="BB204" s="1">
        <v>6748.0</v>
      </c>
      <c r="BC204" s="1">
        <v>6761.0</v>
      </c>
      <c r="BD204" s="1" t="s">
        <v>74</v>
      </c>
      <c r="BE204" s="1" t="s">
        <v>2261</v>
      </c>
      <c r="BF204" s="2" t="str">
        <f>HYPERLINK("http://dx.doi.org/10.1016/j.ceramint.2024.12.119","http://dx.doi.org/10.1016/j.ceramint.2024.12.119")</f>
        <v>http://dx.doi.org/10.1016/j.ceramint.2024.12.119</v>
      </c>
      <c r="BG204" s="1" t="s">
        <v>74</v>
      </c>
      <c r="BH204" s="1" t="s">
        <v>2262</v>
      </c>
      <c r="BI204" s="1" t="s">
        <v>74</v>
      </c>
      <c r="BJ204" s="1" t="s">
        <v>74</v>
      </c>
      <c r="BK204" s="1" t="s">
        <v>74</v>
      </c>
      <c r="BL204" s="1" t="s">
        <v>74</v>
      </c>
      <c r="BM204" s="1" t="s">
        <v>74</v>
      </c>
      <c r="BN204" s="1" t="s">
        <v>74</v>
      </c>
      <c r="BO204" s="1" t="s">
        <v>74</v>
      </c>
      <c r="BP204" s="1" t="s">
        <v>74</v>
      </c>
      <c r="BQ204" s="1" t="s">
        <v>74</v>
      </c>
      <c r="BR204" s="1" t="s">
        <v>74</v>
      </c>
      <c r="BS204" s="1" t="s">
        <v>2263</v>
      </c>
      <c r="BT204" s="1" t="str">
        <f>HYPERLINK("https%3A%2F%2Fwww.webofscience.com%2Fwos%2Fwoscc%2Ffull-record%2FWOS:001423830900001","View Full Record in Web of Science")</f>
        <v>View Full Record in Web of Science</v>
      </c>
    </row>
    <row r="205" ht="12.75" customHeight="1">
      <c r="A205" s="1" t="s">
        <v>72</v>
      </c>
      <c r="B205" s="1" t="s">
        <v>2264</v>
      </c>
      <c r="C205" s="1" t="s">
        <v>74</v>
      </c>
      <c r="D205" s="1" t="s">
        <v>74</v>
      </c>
      <c r="E205" s="1" t="s">
        <v>74</v>
      </c>
      <c r="F205" s="1" t="s">
        <v>2265</v>
      </c>
      <c r="G205" s="1" t="s">
        <v>74</v>
      </c>
      <c r="H205" s="1" t="s">
        <v>74</v>
      </c>
      <c r="I205" s="1" t="s">
        <v>2266</v>
      </c>
      <c r="J205" s="1" t="s">
        <v>101</v>
      </c>
      <c r="K205" s="1" t="s">
        <v>74</v>
      </c>
      <c r="L205" s="1" t="s">
        <v>74</v>
      </c>
      <c r="M205" s="1" t="s">
        <v>74</v>
      </c>
      <c r="N205" s="1" t="s">
        <v>74</v>
      </c>
      <c r="O205" s="1" t="s">
        <v>74</v>
      </c>
      <c r="P205" s="1" t="s">
        <v>74</v>
      </c>
      <c r="Q205" s="1" t="s">
        <v>74</v>
      </c>
      <c r="R205" s="1" t="s">
        <v>74</v>
      </c>
      <c r="S205" s="1" t="s">
        <v>74</v>
      </c>
      <c r="T205" s="1" t="s">
        <v>74</v>
      </c>
      <c r="U205" s="1" t="s">
        <v>74</v>
      </c>
      <c r="V205" s="1" t="s">
        <v>2267</v>
      </c>
      <c r="W205" s="1" t="s">
        <v>74</v>
      </c>
      <c r="X205" s="1" t="s">
        <v>74</v>
      </c>
      <c r="Y205" s="1" t="s">
        <v>74</v>
      </c>
      <c r="Z205" s="1" t="s">
        <v>74</v>
      </c>
      <c r="AA205" s="1" t="s">
        <v>2268</v>
      </c>
      <c r="AB205" s="1" t="s">
        <v>2269</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74</v>
      </c>
      <c r="AP205" s="1" t="s">
        <v>105</v>
      </c>
      <c r="AQ205" s="1" t="s">
        <v>74</v>
      </c>
      <c r="AR205" s="1" t="s">
        <v>74</v>
      </c>
      <c r="AS205" s="1" t="s">
        <v>74</v>
      </c>
      <c r="AT205" s="1" t="s">
        <v>106</v>
      </c>
      <c r="AU205" s="1">
        <v>2024.0</v>
      </c>
      <c r="AV205" s="1">
        <v>29.0</v>
      </c>
      <c r="AW205" s="1">
        <v>22.0</v>
      </c>
      <c r="AX205" s="1" t="s">
        <v>74</v>
      </c>
      <c r="AY205" s="1" t="s">
        <v>74</v>
      </c>
      <c r="AZ205" s="1" t="s">
        <v>74</v>
      </c>
      <c r="BA205" s="1" t="s">
        <v>74</v>
      </c>
      <c r="BB205" s="1" t="s">
        <v>74</v>
      </c>
      <c r="BC205" s="1" t="s">
        <v>74</v>
      </c>
      <c r="BD205" s="1">
        <v>5452.0</v>
      </c>
      <c r="BE205" s="1" t="s">
        <v>2270</v>
      </c>
      <c r="BF205" s="2" t="str">
        <f>HYPERLINK("http://dx.doi.org/10.3390/molecules29225452","http://dx.doi.org/10.3390/molecules29225452")</f>
        <v>http://dx.doi.org/10.3390/molecules29225452</v>
      </c>
      <c r="BG205" s="1" t="s">
        <v>74</v>
      </c>
      <c r="BH205" s="1" t="s">
        <v>74</v>
      </c>
      <c r="BI205" s="1" t="s">
        <v>74</v>
      </c>
      <c r="BJ205" s="1" t="s">
        <v>74</v>
      </c>
      <c r="BK205" s="1" t="s">
        <v>74</v>
      </c>
      <c r="BL205" s="1" t="s">
        <v>74</v>
      </c>
      <c r="BM205" s="1" t="s">
        <v>74</v>
      </c>
      <c r="BN205" s="1">
        <v>3.9598841E7</v>
      </c>
      <c r="BO205" s="1" t="s">
        <v>74</v>
      </c>
      <c r="BP205" s="1" t="s">
        <v>74</v>
      </c>
      <c r="BQ205" s="1" t="s">
        <v>74</v>
      </c>
      <c r="BR205" s="1" t="s">
        <v>74</v>
      </c>
      <c r="BS205" s="1" t="s">
        <v>2271</v>
      </c>
      <c r="BT205" s="1" t="str">
        <f>HYPERLINK("https%3A%2F%2Fwww.webofscience.com%2Fwos%2Fwoscc%2Ffull-record%2FWOS:001365611900001","View Full Record in Web of Science")</f>
        <v>View Full Record in Web of Science</v>
      </c>
    </row>
    <row r="206" ht="12.75" customHeight="1">
      <c r="A206" s="1" t="s">
        <v>72</v>
      </c>
      <c r="B206" s="1" t="s">
        <v>2272</v>
      </c>
      <c r="C206" s="1" t="s">
        <v>74</v>
      </c>
      <c r="D206" s="1" t="s">
        <v>74</v>
      </c>
      <c r="E206" s="1" t="s">
        <v>74</v>
      </c>
      <c r="F206" s="1" t="s">
        <v>2273</v>
      </c>
      <c r="G206" s="1" t="s">
        <v>74</v>
      </c>
      <c r="H206" s="1" t="s">
        <v>74</v>
      </c>
      <c r="I206" s="1" t="s">
        <v>2274</v>
      </c>
      <c r="J206" s="1" t="s">
        <v>1572</v>
      </c>
      <c r="K206" s="1" t="s">
        <v>74</v>
      </c>
      <c r="L206" s="1" t="s">
        <v>74</v>
      </c>
      <c r="M206" s="1" t="s">
        <v>74</v>
      </c>
      <c r="N206" s="1" t="s">
        <v>74</v>
      </c>
      <c r="O206" s="1" t="s">
        <v>74</v>
      </c>
      <c r="P206" s="1" t="s">
        <v>74</v>
      </c>
      <c r="Q206" s="1" t="s">
        <v>74</v>
      </c>
      <c r="R206" s="1" t="s">
        <v>74</v>
      </c>
      <c r="S206" s="1" t="s">
        <v>74</v>
      </c>
      <c r="T206" s="1" t="s">
        <v>74</v>
      </c>
      <c r="U206" s="1" t="s">
        <v>74</v>
      </c>
      <c r="V206" s="1" t="s">
        <v>2275</v>
      </c>
      <c r="W206" s="1" t="s">
        <v>74</v>
      </c>
      <c r="X206" s="1" t="s">
        <v>74</v>
      </c>
      <c r="Y206" s="1" t="s">
        <v>74</v>
      </c>
      <c r="Z206" s="1" t="s">
        <v>74</v>
      </c>
      <c r="AA206" s="1" t="s">
        <v>2276</v>
      </c>
      <c r="AB206" s="1" t="s">
        <v>2277</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1576</v>
      </c>
      <c r="AP206" s="1" t="s">
        <v>1577</v>
      </c>
      <c r="AQ206" s="1" t="s">
        <v>74</v>
      </c>
      <c r="AR206" s="1" t="s">
        <v>74</v>
      </c>
      <c r="AS206" s="1" t="s">
        <v>74</v>
      </c>
      <c r="AT206" s="1" t="s">
        <v>264</v>
      </c>
      <c r="AU206" s="1">
        <v>2024.0</v>
      </c>
      <c r="AV206" s="1">
        <v>41.0</v>
      </c>
      <c r="AW206" s="1" t="s">
        <v>1917</v>
      </c>
      <c r="AX206" s="1" t="s">
        <v>74</v>
      </c>
      <c r="AY206" s="1" t="s">
        <v>74</v>
      </c>
      <c r="AZ206" s="1" t="s">
        <v>74</v>
      </c>
      <c r="BA206" s="1" t="s">
        <v>74</v>
      </c>
      <c r="BB206" s="1">
        <v>52.0</v>
      </c>
      <c r="BC206" s="1">
        <v>63.0</v>
      </c>
      <c r="BD206" s="1" t="s">
        <v>74</v>
      </c>
      <c r="BE206" s="1" t="s">
        <v>2278</v>
      </c>
      <c r="BF206" s="2" t="str">
        <f>HYPERLINK("http://dx.doi.org/10.1002/yea.3920","http://dx.doi.org/10.1002/yea.3920")</f>
        <v>http://dx.doi.org/10.1002/yea.3920</v>
      </c>
      <c r="BG206" s="1" t="s">
        <v>74</v>
      </c>
      <c r="BH206" s="1" t="s">
        <v>1176</v>
      </c>
      <c r="BI206" s="1" t="s">
        <v>74</v>
      </c>
      <c r="BJ206" s="1" t="s">
        <v>74</v>
      </c>
      <c r="BK206" s="1" t="s">
        <v>74</v>
      </c>
      <c r="BL206" s="1" t="s">
        <v>74</v>
      </c>
      <c r="BM206" s="1" t="s">
        <v>74</v>
      </c>
      <c r="BN206" s="1">
        <v>3.8146767E7</v>
      </c>
      <c r="BO206" s="1" t="s">
        <v>74</v>
      </c>
      <c r="BP206" s="1" t="s">
        <v>74</v>
      </c>
      <c r="BQ206" s="1" t="s">
        <v>74</v>
      </c>
      <c r="BR206" s="1" t="s">
        <v>74</v>
      </c>
      <c r="BS206" s="1" t="s">
        <v>2279</v>
      </c>
      <c r="BT206" s="1" t="str">
        <f>HYPERLINK("https%3A%2F%2Fwww.webofscience.com%2Fwos%2Fwoscc%2Ffull-record%2FWOS:001135328600001","View Full Record in Web of Science")</f>
        <v>View Full Record in Web of Science</v>
      </c>
    </row>
    <row r="207" ht="12.75" customHeight="1">
      <c r="A207" s="1" t="s">
        <v>72</v>
      </c>
      <c r="B207" s="1" t="s">
        <v>2280</v>
      </c>
      <c r="C207" s="1" t="s">
        <v>74</v>
      </c>
      <c r="D207" s="1" t="s">
        <v>74</v>
      </c>
      <c r="E207" s="1" t="s">
        <v>74</v>
      </c>
      <c r="F207" s="1" t="s">
        <v>2281</v>
      </c>
      <c r="G207" s="1" t="s">
        <v>74</v>
      </c>
      <c r="H207" s="1" t="s">
        <v>74</v>
      </c>
      <c r="I207" s="1" t="s">
        <v>2282</v>
      </c>
      <c r="J207" s="1" t="s">
        <v>2283</v>
      </c>
      <c r="K207" s="1" t="s">
        <v>74</v>
      </c>
      <c r="L207" s="1" t="s">
        <v>74</v>
      </c>
      <c r="M207" s="1" t="s">
        <v>74</v>
      </c>
      <c r="N207" s="1" t="s">
        <v>74</v>
      </c>
      <c r="O207" s="1" t="s">
        <v>74</v>
      </c>
      <c r="P207" s="1" t="s">
        <v>74</v>
      </c>
      <c r="Q207" s="1" t="s">
        <v>74</v>
      </c>
      <c r="R207" s="1" t="s">
        <v>74</v>
      </c>
      <c r="S207" s="1" t="s">
        <v>74</v>
      </c>
      <c r="T207" s="1" t="s">
        <v>74</v>
      </c>
      <c r="U207" s="1" t="s">
        <v>74</v>
      </c>
      <c r="V207" s="1" t="s">
        <v>2284</v>
      </c>
      <c r="W207" s="1" t="s">
        <v>74</v>
      </c>
      <c r="X207" s="1" t="s">
        <v>74</v>
      </c>
      <c r="Y207" s="1" t="s">
        <v>74</v>
      </c>
      <c r="Z207" s="1" t="s">
        <v>74</v>
      </c>
      <c r="AA207" s="1" t="s">
        <v>2285</v>
      </c>
      <c r="AB207" s="1" t="s">
        <v>2286</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2287</v>
      </c>
      <c r="AP207" s="1" t="s">
        <v>2288</v>
      </c>
      <c r="AQ207" s="1" t="s">
        <v>74</v>
      </c>
      <c r="AR207" s="1" t="s">
        <v>74</v>
      </c>
      <c r="AS207" s="1" t="s">
        <v>74</v>
      </c>
      <c r="AT207" s="1" t="s">
        <v>2289</v>
      </c>
      <c r="AU207" s="1">
        <v>2022.0</v>
      </c>
      <c r="AV207" s="1">
        <v>254.0</v>
      </c>
      <c r="AW207" s="1" t="s">
        <v>74</v>
      </c>
      <c r="AX207" s="1" t="s">
        <v>74</v>
      </c>
      <c r="AY207" s="1" t="s">
        <v>74</v>
      </c>
      <c r="AZ207" s="1" t="s">
        <v>74</v>
      </c>
      <c r="BA207" s="1" t="s">
        <v>74</v>
      </c>
      <c r="BB207" s="1" t="s">
        <v>74</v>
      </c>
      <c r="BC207" s="1" t="s">
        <v>74</v>
      </c>
      <c r="BD207" s="1">
        <v>111843.0</v>
      </c>
      <c r="BE207" s="1" t="s">
        <v>2290</v>
      </c>
      <c r="BF207" s="2" t="str">
        <f>HYPERLINK("http://dx.doi.org/10.1016/j.ijsolstr.2022.111843","http://dx.doi.org/10.1016/j.ijsolstr.2022.111843")</f>
        <v>http://dx.doi.org/10.1016/j.ijsolstr.2022.111843</v>
      </c>
      <c r="BG207" s="1" t="s">
        <v>74</v>
      </c>
      <c r="BH207" s="1" t="s">
        <v>2291</v>
      </c>
      <c r="BI207" s="1" t="s">
        <v>74</v>
      </c>
      <c r="BJ207" s="1" t="s">
        <v>74</v>
      </c>
      <c r="BK207" s="1" t="s">
        <v>74</v>
      </c>
      <c r="BL207" s="1" t="s">
        <v>74</v>
      </c>
      <c r="BM207" s="1" t="s">
        <v>74</v>
      </c>
      <c r="BN207" s="1" t="s">
        <v>74</v>
      </c>
      <c r="BO207" s="1" t="s">
        <v>74</v>
      </c>
      <c r="BP207" s="1" t="s">
        <v>74</v>
      </c>
      <c r="BQ207" s="1" t="s">
        <v>74</v>
      </c>
      <c r="BR207" s="1" t="s">
        <v>74</v>
      </c>
      <c r="BS207" s="1" t="s">
        <v>2292</v>
      </c>
      <c r="BT207" s="1" t="str">
        <f>HYPERLINK("https%3A%2F%2Fwww.webofscience.com%2Fwos%2Fwoscc%2Ffull-record%2FWOS:000877377800010","View Full Record in Web of Science")</f>
        <v>View Full Record in Web of Science</v>
      </c>
    </row>
    <row r="208" ht="12.75" customHeight="1">
      <c r="A208" s="1" t="s">
        <v>72</v>
      </c>
      <c r="B208" s="1" t="s">
        <v>2293</v>
      </c>
      <c r="C208" s="1" t="s">
        <v>74</v>
      </c>
      <c r="D208" s="1" t="s">
        <v>74</v>
      </c>
      <c r="E208" s="1" t="s">
        <v>74</v>
      </c>
      <c r="F208" s="1" t="s">
        <v>2294</v>
      </c>
      <c r="G208" s="1" t="s">
        <v>74</v>
      </c>
      <c r="H208" s="1" t="s">
        <v>74</v>
      </c>
      <c r="I208" s="1" t="s">
        <v>2295</v>
      </c>
      <c r="J208" s="1" t="s">
        <v>2296</v>
      </c>
      <c r="K208" s="1" t="s">
        <v>74</v>
      </c>
      <c r="L208" s="1" t="s">
        <v>74</v>
      </c>
      <c r="M208" s="1" t="s">
        <v>74</v>
      </c>
      <c r="N208" s="1" t="s">
        <v>74</v>
      </c>
      <c r="O208" s="1" t="s">
        <v>74</v>
      </c>
      <c r="P208" s="1" t="s">
        <v>74</v>
      </c>
      <c r="Q208" s="1" t="s">
        <v>74</v>
      </c>
      <c r="R208" s="1" t="s">
        <v>74</v>
      </c>
      <c r="S208" s="1" t="s">
        <v>74</v>
      </c>
      <c r="T208" s="1" t="s">
        <v>74</v>
      </c>
      <c r="U208" s="1" t="s">
        <v>74</v>
      </c>
      <c r="V208" s="1" t="s">
        <v>2297</v>
      </c>
      <c r="W208" s="1" t="s">
        <v>74</v>
      </c>
      <c r="X208" s="1" t="s">
        <v>74</v>
      </c>
      <c r="Y208" s="1" t="s">
        <v>74</v>
      </c>
      <c r="Z208" s="1" t="s">
        <v>74</v>
      </c>
      <c r="AA208" s="1" t="s">
        <v>2298</v>
      </c>
      <c r="AB208" s="1" t="s">
        <v>2299</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2300</v>
      </c>
      <c r="AP208" s="1" t="s">
        <v>74</v>
      </c>
      <c r="AQ208" s="1" t="s">
        <v>74</v>
      </c>
      <c r="AR208" s="1" t="s">
        <v>74</v>
      </c>
      <c r="AS208" s="1" t="s">
        <v>74</v>
      </c>
      <c r="AT208" s="1" t="s">
        <v>2301</v>
      </c>
      <c r="AU208" s="1">
        <v>2021.0</v>
      </c>
      <c r="AV208" s="1">
        <v>8.0</v>
      </c>
      <c r="AW208" s="1">
        <v>13.0</v>
      </c>
      <c r="AX208" s="1" t="s">
        <v>74</v>
      </c>
      <c r="AY208" s="1" t="s">
        <v>74</v>
      </c>
      <c r="AZ208" s="1" t="s">
        <v>74</v>
      </c>
      <c r="BA208" s="1" t="s">
        <v>74</v>
      </c>
      <c r="BB208" s="1">
        <v>3238.0</v>
      </c>
      <c r="BC208" s="1">
        <v>3252.0</v>
      </c>
      <c r="BD208" s="1" t="s">
        <v>74</v>
      </c>
      <c r="BE208" s="1" t="s">
        <v>2302</v>
      </c>
      <c r="BF208" s="2" t="str">
        <f>HYPERLINK("http://dx.doi.org/10.1039/d1qi00233c","http://dx.doi.org/10.1039/d1qi00233c")</f>
        <v>http://dx.doi.org/10.1039/d1qi00233c</v>
      </c>
      <c r="BG208" s="1" t="s">
        <v>74</v>
      </c>
      <c r="BH208" s="1" t="s">
        <v>2303</v>
      </c>
      <c r="BI208" s="1" t="s">
        <v>74</v>
      </c>
      <c r="BJ208" s="1" t="s">
        <v>74</v>
      </c>
      <c r="BK208" s="1" t="s">
        <v>74</v>
      </c>
      <c r="BL208" s="1" t="s">
        <v>74</v>
      </c>
      <c r="BM208" s="1" t="s">
        <v>74</v>
      </c>
      <c r="BN208" s="1" t="s">
        <v>74</v>
      </c>
      <c r="BO208" s="1" t="s">
        <v>74</v>
      </c>
      <c r="BP208" s="1" t="s">
        <v>74</v>
      </c>
      <c r="BQ208" s="1" t="s">
        <v>74</v>
      </c>
      <c r="BR208" s="1" t="s">
        <v>74</v>
      </c>
      <c r="BS208" s="1" t="s">
        <v>2304</v>
      </c>
      <c r="BT208" s="1" t="str">
        <f>HYPERLINK("https%3A%2F%2Fwww.webofscience.com%2Fwos%2Fwoscc%2Ffull-record%2FWOS:000653082500001","View Full Record in Web of Science")</f>
        <v>View Full Record in Web of Science</v>
      </c>
    </row>
    <row r="209" ht="12.75" customHeight="1">
      <c r="A209" s="1" t="s">
        <v>72</v>
      </c>
      <c r="B209" s="1" t="s">
        <v>2305</v>
      </c>
      <c r="C209" s="1" t="s">
        <v>74</v>
      </c>
      <c r="D209" s="1" t="s">
        <v>74</v>
      </c>
      <c r="E209" s="1" t="s">
        <v>74</v>
      </c>
      <c r="F209" s="1" t="s">
        <v>2306</v>
      </c>
      <c r="G209" s="1" t="s">
        <v>74</v>
      </c>
      <c r="H209" s="1" t="s">
        <v>74</v>
      </c>
      <c r="I209" s="1" t="s">
        <v>2307</v>
      </c>
      <c r="J209" s="1" t="s">
        <v>2308</v>
      </c>
      <c r="K209" s="1" t="s">
        <v>74</v>
      </c>
      <c r="L209" s="1" t="s">
        <v>74</v>
      </c>
      <c r="M209" s="1" t="s">
        <v>74</v>
      </c>
      <c r="N209" s="1" t="s">
        <v>74</v>
      </c>
      <c r="O209" s="1" t="s">
        <v>74</v>
      </c>
      <c r="P209" s="1" t="s">
        <v>74</v>
      </c>
      <c r="Q209" s="1" t="s">
        <v>74</v>
      </c>
      <c r="R209" s="1" t="s">
        <v>74</v>
      </c>
      <c r="S209" s="1" t="s">
        <v>74</v>
      </c>
      <c r="T209" s="1" t="s">
        <v>74</v>
      </c>
      <c r="U209" s="1" t="s">
        <v>74</v>
      </c>
      <c r="V209" s="1" t="s">
        <v>2309</v>
      </c>
      <c r="W209" s="1" t="s">
        <v>74</v>
      </c>
      <c r="X209" s="1" t="s">
        <v>74</v>
      </c>
      <c r="Y209" s="1" t="s">
        <v>74</v>
      </c>
      <c r="Z209" s="1" t="s">
        <v>74</v>
      </c>
      <c r="AA209" s="1" t="s">
        <v>2310</v>
      </c>
      <c r="AB209" s="1" t="s">
        <v>2311</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2312</v>
      </c>
      <c r="AP209" s="1" t="s">
        <v>2313</v>
      </c>
      <c r="AQ209" s="1" t="s">
        <v>74</v>
      </c>
      <c r="AR209" s="1" t="s">
        <v>74</v>
      </c>
      <c r="AS209" s="1" t="s">
        <v>74</v>
      </c>
      <c r="AT209" s="1" t="s">
        <v>239</v>
      </c>
      <c r="AU209" s="1">
        <v>2012.0</v>
      </c>
      <c r="AV209" s="1">
        <v>85.0</v>
      </c>
      <c r="AW209" s="1">
        <v>5.0</v>
      </c>
      <c r="AX209" s="1" t="s">
        <v>74</v>
      </c>
      <c r="AY209" s="1" t="s">
        <v>74</v>
      </c>
      <c r="AZ209" s="1" t="s">
        <v>74</v>
      </c>
      <c r="BA209" s="1" t="s">
        <v>74</v>
      </c>
      <c r="BB209" s="1">
        <v>480.0</v>
      </c>
      <c r="BC209" s="1">
        <v>488.0</v>
      </c>
      <c r="BD209" s="1" t="s">
        <v>74</v>
      </c>
      <c r="BE209" s="1" t="s">
        <v>2314</v>
      </c>
      <c r="BF209" s="2" t="str">
        <f>HYPERLINK("http://dx.doi.org/10.1016/j.contraception.2011.10.003","http://dx.doi.org/10.1016/j.contraception.2011.10.003")</f>
        <v>http://dx.doi.org/10.1016/j.contraception.2011.10.003</v>
      </c>
      <c r="BG209" s="1" t="s">
        <v>74</v>
      </c>
      <c r="BH209" s="1" t="s">
        <v>74</v>
      </c>
      <c r="BI209" s="1" t="s">
        <v>74</v>
      </c>
      <c r="BJ209" s="1" t="s">
        <v>74</v>
      </c>
      <c r="BK209" s="1" t="s">
        <v>74</v>
      </c>
      <c r="BL209" s="1" t="s">
        <v>74</v>
      </c>
      <c r="BM209" s="1" t="s">
        <v>74</v>
      </c>
      <c r="BN209" s="1">
        <v>2.2176795E7</v>
      </c>
      <c r="BO209" s="1" t="s">
        <v>74</v>
      </c>
      <c r="BP209" s="1" t="s">
        <v>74</v>
      </c>
      <c r="BQ209" s="1" t="s">
        <v>74</v>
      </c>
      <c r="BR209" s="1" t="s">
        <v>74</v>
      </c>
      <c r="BS209" s="1" t="s">
        <v>2315</v>
      </c>
      <c r="BT209" s="1" t="str">
        <f>HYPERLINK("https%3A%2F%2Fwww.webofscience.com%2Fwos%2Fwoscc%2Ffull-record%2FWOS:000303187500010","View Full Record in Web of Science")</f>
        <v>View Full Record in Web of Science</v>
      </c>
    </row>
    <row r="210" ht="12.75" customHeight="1">
      <c r="A210" s="1" t="s">
        <v>72</v>
      </c>
      <c r="B210" s="1" t="s">
        <v>2316</v>
      </c>
      <c r="C210" s="1" t="s">
        <v>74</v>
      </c>
      <c r="D210" s="1" t="s">
        <v>74</v>
      </c>
      <c r="E210" s="1" t="s">
        <v>74</v>
      </c>
      <c r="F210" s="1" t="s">
        <v>2317</v>
      </c>
      <c r="G210" s="1" t="s">
        <v>74</v>
      </c>
      <c r="H210" s="1" t="s">
        <v>74</v>
      </c>
      <c r="I210" s="1" t="s">
        <v>2318</v>
      </c>
      <c r="J210" s="1" t="s">
        <v>2319</v>
      </c>
      <c r="K210" s="1" t="s">
        <v>74</v>
      </c>
      <c r="L210" s="1" t="s">
        <v>74</v>
      </c>
      <c r="M210" s="1" t="s">
        <v>74</v>
      </c>
      <c r="N210" s="1" t="s">
        <v>74</v>
      </c>
      <c r="O210" s="1" t="s">
        <v>74</v>
      </c>
      <c r="P210" s="1" t="s">
        <v>74</v>
      </c>
      <c r="Q210" s="1" t="s">
        <v>74</v>
      </c>
      <c r="R210" s="1" t="s">
        <v>74</v>
      </c>
      <c r="S210" s="1" t="s">
        <v>74</v>
      </c>
      <c r="T210" s="1" t="s">
        <v>74</v>
      </c>
      <c r="U210" s="1" t="s">
        <v>74</v>
      </c>
      <c r="V210" s="1" t="s">
        <v>2320</v>
      </c>
      <c r="W210" s="1" t="s">
        <v>74</v>
      </c>
      <c r="X210" s="1" t="s">
        <v>74</v>
      </c>
      <c r="Y210" s="1" t="s">
        <v>74</v>
      </c>
      <c r="Z210" s="1" t="s">
        <v>74</v>
      </c>
      <c r="AA210" s="1" t="s">
        <v>2321</v>
      </c>
      <c r="AB210" s="1" t="s">
        <v>2322</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2323</v>
      </c>
      <c r="AP210" s="1" t="s">
        <v>2324</v>
      </c>
      <c r="AQ210" s="1" t="s">
        <v>74</v>
      </c>
      <c r="AR210" s="1" t="s">
        <v>74</v>
      </c>
      <c r="AS210" s="1" t="s">
        <v>74</v>
      </c>
      <c r="AT210" s="1" t="s">
        <v>94</v>
      </c>
      <c r="AU210" s="1">
        <v>2010.0</v>
      </c>
      <c r="AV210" s="1">
        <v>13.0</v>
      </c>
      <c r="AW210" s="1">
        <v>12.0</v>
      </c>
      <c r="AX210" s="1" t="s">
        <v>74</v>
      </c>
      <c r="AY210" s="1" t="s">
        <v>74</v>
      </c>
      <c r="AZ210" s="1" t="s">
        <v>74</v>
      </c>
      <c r="BA210" s="1" t="s">
        <v>74</v>
      </c>
      <c r="BB210" s="1">
        <v>1519.0</v>
      </c>
      <c r="BC210" s="1">
        <v>1521.0</v>
      </c>
      <c r="BD210" s="1" t="s">
        <v>74</v>
      </c>
      <c r="BE210" s="1" t="s">
        <v>2325</v>
      </c>
      <c r="BF210" s="2" t="str">
        <f>HYPERLINK("http://dx.doi.org/10.1016/j.inoche.2010.09.001","http://dx.doi.org/10.1016/j.inoche.2010.09.001")</f>
        <v>http://dx.doi.org/10.1016/j.inoche.2010.09.001</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2326</v>
      </c>
      <c r="BT210" s="1" t="str">
        <f>HYPERLINK("https%3A%2F%2Fwww.webofscience.com%2Fwos%2Fwoscc%2Ffull-record%2FWOS:000288730800039","View Full Record in Web of Science")</f>
        <v>View Full Record in Web of Science</v>
      </c>
    </row>
    <row r="211" ht="12.75" customHeight="1">
      <c r="A211" s="1" t="s">
        <v>72</v>
      </c>
      <c r="B211" s="1" t="s">
        <v>2327</v>
      </c>
      <c r="C211" s="1" t="s">
        <v>74</v>
      </c>
      <c r="D211" s="1" t="s">
        <v>74</v>
      </c>
      <c r="E211" s="1" t="s">
        <v>74</v>
      </c>
      <c r="F211" s="1" t="s">
        <v>2328</v>
      </c>
      <c r="G211" s="1" t="s">
        <v>74</v>
      </c>
      <c r="H211" s="1" t="s">
        <v>74</v>
      </c>
      <c r="I211" s="1" t="s">
        <v>2329</v>
      </c>
      <c r="J211" s="1" t="s">
        <v>2330</v>
      </c>
      <c r="K211" s="1" t="s">
        <v>74</v>
      </c>
      <c r="L211" s="1" t="s">
        <v>74</v>
      </c>
      <c r="M211" s="1" t="s">
        <v>74</v>
      </c>
      <c r="N211" s="1" t="s">
        <v>74</v>
      </c>
      <c r="O211" s="1" t="s">
        <v>74</v>
      </c>
      <c r="P211" s="1" t="s">
        <v>74</v>
      </c>
      <c r="Q211" s="1" t="s">
        <v>74</v>
      </c>
      <c r="R211" s="1" t="s">
        <v>74</v>
      </c>
      <c r="S211" s="1" t="s">
        <v>74</v>
      </c>
      <c r="T211" s="1" t="s">
        <v>74</v>
      </c>
      <c r="U211" s="1" t="s">
        <v>74</v>
      </c>
      <c r="V211" s="1" t="s">
        <v>74</v>
      </c>
      <c r="W211" s="1" t="s">
        <v>74</v>
      </c>
      <c r="X211" s="1" t="s">
        <v>74</v>
      </c>
      <c r="Y211" s="1" t="s">
        <v>74</v>
      </c>
      <c r="Z211" s="1" t="s">
        <v>74</v>
      </c>
      <c r="AA211" s="1" t="s">
        <v>2331</v>
      </c>
      <c r="AB211" s="1" t="s">
        <v>2332</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2333</v>
      </c>
      <c r="AP211" s="1" t="s">
        <v>2334</v>
      </c>
      <c r="AQ211" s="1" t="s">
        <v>74</v>
      </c>
      <c r="AR211" s="1" t="s">
        <v>74</v>
      </c>
      <c r="AS211" s="1" t="s">
        <v>74</v>
      </c>
      <c r="AT211" s="1" t="s">
        <v>447</v>
      </c>
      <c r="AU211" s="1">
        <v>2019.0</v>
      </c>
      <c r="AV211" s="1">
        <v>123.0</v>
      </c>
      <c r="AW211" s="1" t="s">
        <v>74</v>
      </c>
      <c r="AX211" s="1" t="s">
        <v>74</v>
      </c>
      <c r="AY211" s="1" t="s">
        <v>74</v>
      </c>
      <c r="AZ211" s="1" t="s">
        <v>74</v>
      </c>
      <c r="BA211" s="1" t="s">
        <v>74</v>
      </c>
      <c r="BB211" s="1">
        <v>34.0</v>
      </c>
      <c r="BC211" s="1">
        <v>35.0</v>
      </c>
      <c r="BD211" s="1" t="s">
        <v>74</v>
      </c>
      <c r="BE211" s="1" t="s">
        <v>2335</v>
      </c>
      <c r="BF211" s="2" t="str">
        <f>HYPERLINK("http://dx.doi.org/10.1016/j.exger.2019.05.012","http://dx.doi.org/10.1016/j.exger.2019.05.012")</f>
        <v>http://dx.doi.org/10.1016/j.exger.2019.05.012</v>
      </c>
      <c r="BG211" s="1" t="s">
        <v>74</v>
      </c>
      <c r="BH211" s="1" t="s">
        <v>74</v>
      </c>
      <c r="BI211" s="1" t="s">
        <v>74</v>
      </c>
      <c r="BJ211" s="1" t="s">
        <v>74</v>
      </c>
      <c r="BK211" s="1" t="s">
        <v>74</v>
      </c>
      <c r="BL211" s="1" t="s">
        <v>74</v>
      </c>
      <c r="BM211" s="1" t="s">
        <v>74</v>
      </c>
      <c r="BN211" s="1">
        <v>3.1136812E7</v>
      </c>
      <c r="BO211" s="1" t="s">
        <v>74</v>
      </c>
      <c r="BP211" s="1" t="s">
        <v>74</v>
      </c>
      <c r="BQ211" s="1" t="s">
        <v>74</v>
      </c>
      <c r="BR211" s="1" t="s">
        <v>74</v>
      </c>
      <c r="BS211" s="1" t="s">
        <v>2336</v>
      </c>
      <c r="BT211" s="1" t="str">
        <f>HYPERLINK("https%3A%2F%2Fwww.webofscience.com%2Fwos%2Fwoscc%2Ffull-record%2FWOS:000470675300005","View Full Record in Web of Science")</f>
        <v>View Full Record in Web of Science</v>
      </c>
    </row>
    <row r="212" ht="12.75" customHeight="1">
      <c r="A212" s="1" t="s">
        <v>72</v>
      </c>
      <c r="B212" s="1" t="s">
        <v>2337</v>
      </c>
      <c r="C212" s="1" t="s">
        <v>74</v>
      </c>
      <c r="D212" s="1" t="s">
        <v>74</v>
      </c>
      <c r="E212" s="1" t="s">
        <v>74</v>
      </c>
      <c r="F212" s="1" t="s">
        <v>2338</v>
      </c>
      <c r="G212" s="1" t="s">
        <v>74</v>
      </c>
      <c r="H212" s="1" t="s">
        <v>74</v>
      </c>
      <c r="I212" s="1" t="s">
        <v>2339</v>
      </c>
      <c r="J212" s="1" t="s">
        <v>2340</v>
      </c>
      <c r="K212" s="1" t="s">
        <v>74</v>
      </c>
      <c r="L212" s="1" t="s">
        <v>74</v>
      </c>
      <c r="M212" s="1" t="s">
        <v>74</v>
      </c>
      <c r="N212" s="1" t="s">
        <v>74</v>
      </c>
      <c r="O212" s="1" t="s">
        <v>74</v>
      </c>
      <c r="P212" s="1" t="s">
        <v>74</v>
      </c>
      <c r="Q212" s="1" t="s">
        <v>74</v>
      </c>
      <c r="R212" s="1" t="s">
        <v>74</v>
      </c>
      <c r="S212" s="1" t="s">
        <v>74</v>
      </c>
      <c r="T212" s="1" t="s">
        <v>74</v>
      </c>
      <c r="U212" s="1" t="s">
        <v>74</v>
      </c>
      <c r="V212" s="1" t="s">
        <v>2341</v>
      </c>
      <c r="W212" s="1" t="s">
        <v>74</v>
      </c>
      <c r="X212" s="1" t="s">
        <v>74</v>
      </c>
      <c r="Y212" s="1" t="s">
        <v>74</v>
      </c>
      <c r="Z212" s="1" t="s">
        <v>74</v>
      </c>
      <c r="AA212" s="1" t="s">
        <v>2342</v>
      </c>
      <c r="AB212" s="1" t="s">
        <v>74</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2343</v>
      </c>
      <c r="AP212" s="1" t="s">
        <v>2344</v>
      </c>
      <c r="AQ212" s="1" t="s">
        <v>74</v>
      </c>
      <c r="AR212" s="1" t="s">
        <v>74</v>
      </c>
      <c r="AS212" s="1" t="s">
        <v>74</v>
      </c>
      <c r="AT212" s="1" t="s">
        <v>239</v>
      </c>
      <c r="AU212" s="1">
        <v>2025.0</v>
      </c>
      <c r="AV212" s="1">
        <v>58.0</v>
      </c>
      <c r="AW212" s="1">
        <v>5.0</v>
      </c>
      <c r="AX212" s="1" t="s">
        <v>74</v>
      </c>
      <c r="AY212" s="1" t="s">
        <v>74</v>
      </c>
      <c r="AZ212" s="1" t="s">
        <v>74</v>
      </c>
      <c r="BA212" s="1" t="s">
        <v>74</v>
      </c>
      <c r="BB212" s="1">
        <v>27.0</v>
      </c>
      <c r="BC212" s="1">
        <v>36.0</v>
      </c>
      <c r="BD212" s="1" t="s">
        <v>74</v>
      </c>
      <c r="BE212" s="1" t="s">
        <v>2345</v>
      </c>
      <c r="BF212" s="2" t="str">
        <f>HYPERLINK("http://dx.doi.org/10.1109/MC.2024.3506700","http://dx.doi.org/10.1109/MC.2024.3506700")</f>
        <v>http://dx.doi.org/10.1109/MC.2024.3506700</v>
      </c>
      <c r="BG212" s="1" t="s">
        <v>74</v>
      </c>
      <c r="BH212" s="1" t="s">
        <v>74</v>
      </c>
      <c r="BI212" s="1" t="s">
        <v>74</v>
      </c>
      <c r="BJ212" s="1" t="s">
        <v>74</v>
      </c>
      <c r="BK212" s="1" t="s">
        <v>74</v>
      </c>
      <c r="BL212" s="1" t="s">
        <v>74</v>
      </c>
      <c r="BM212" s="1" t="s">
        <v>74</v>
      </c>
      <c r="BN212" s="1" t="s">
        <v>74</v>
      </c>
      <c r="BO212" s="1" t="s">
        <v>74</v>
      </c>
      <c r="BP212" s="1" t="s">
        <v>74</v>
      </c>
      <c r="BQ212" s="1" t="s">
        <v>74</v>
      </c>
      <c r="BR212" s="1" t="s">
        <v>74</v>
      </c>
      <c r="BS212" s="1" t="s">
        <v>2346</v>
      </c>
      <c r="BT212" s="1" t="str">
        <f>HYPERLINK("https%3A%2F%2Fwww.webofscience.com%2Fwos%2Fwoscc%2Ffull-record%2FWOS:001471142700013","View Full Record in Web of Science")</f>
        <v>View Full Record in Web of Science</v>
      </c>
    </row>
    <row r="213" ht="12.75" customHeight="1">
      <c r="A213" s="1" t="s">
        <v>72</v>
      </c>
      <c r="B213" s="1" t="s">
        <v>2347</v>
      </c>
      <c r="C213" s="1" t="s">
        <v>74</v>
      </c>
      <c r="D213" s="1" t="s">
        <v>74</v>
      </c>
      <c r="E213" s="1" t="s">
        <v>74</v>
      </c>
      <c r="F213" s="1" t="s">
        <v>2348</v>
      </c>
      <c r="G213" s="1" t="s">
        <v>74</v>
      </c>
      <c r="H213" s="1" t="s">
        <v>74</v>
      </c>
      <c r="I213" s="1" t="s">
        <v>2349</v>
      </c>
      <c r="J213" s="1" t="s">
        <v>2350</v>
      </c>
      <c r="K213" s="1" t="s">
        <v>74</v>
      </c>
      <c r="L213" s="1" t="s">
        <v>74</v>
      </c>
      <c r="M213" s="1" t="s">
        <v>74</v>
      </c>
      <c r="N213" s="1" t="s">
        <v>74</v>
      </c>
      <c r="O213" s="1" t="s">
        <v>74</v>
      </c>
      <c r="P213" s="1" t="s">
        <v>74</v>
      </c>
      <c r="Q213" s="1" t="s">
        <v>74</v>
      </c>
      <c r="R213" s="1" t="s">
        <v>74</v>
      </c>
      <c r="S213" s="1" t="s">
        <v>74</v>
      </c>
      <c r="T213" s="1" t="s">
        <v>74</v>
      </c>
      <c r="U213" s="1" t="s">
        <v>74</v>
      </c>
      <c r="V213" s="1" t="s">
        <v>2351</v>
      </c>
      <c r="W213" s="1" t="s">
        <v>74</v>
      </c>
      <c r="X213" s="1" t="s">
        <v>74</v>
      </c>
      <c r="Y213" s="1" t="s">
        <v>74</v>
      </c>
      <c r="Z213" s="1" t="s">
        <v>74</v>
      </c>
      <c r="AA213" s="1" t="s">
        <v>2352</v>
      </c>
      <c r="AB213" s="1" t="s">
        <v>2353</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74</v>
      </c>
      <c r="AP213" s="1" t="s">
        <v>2354</v>
      </c>
      <c r="AQ213" s="1" t="s">
        <v>74</v>
      </c>
      <c r="AR213" s="1" t="s">
        <v>74</v>
      </c>
      <c r="AS213" s="1" t="s">
        <v>74</v>
      </c>
      <c r="AT213" s="1" t="s">
        <v>94</v>
      </c>
      <c r="AU213" s="1">
        <v>2024.0</v>
      </c>
      <c r="AV213" s="1">
        <v>9.0</v>
      </c>
      <c r="AW213" s="1">
        <v>4.0</v>
      </c>
      <c r="AX213" s="1" t="s">
        <v>74</v>
      </c>
      <c r="AY213" s="1" t="s">
        <v>74</v>
      </c>
      <c r="AZ213" s="1" t="s">
        <v>74</v>
      </c>
      <c r="BA213" s="1" t="s">
        <v>74</v>
      </c>
      <c r="BB213" s="1" t="s">
        <v>74</v>
      </c>
      <c r="BC213" s="1" t="s">
        <v>74</v>
      </c>
      <c r="BD213" s="1">
        <v>270.0</v>
      </c>
      <c r="BE213" s="1" t="s">
        <v>2355</v>
      </c>
      <c r="BF213" s="2" t="str">
        <f>HYPERLINK("http://dx.doi.org/10.3390/jfmk9040270","http://dx.doi.org/10.3390/jfmk9040270")</f>
        <v>http://dx.doi.org/10.3390/jfmk9040270</v>
      </c>
      <c r="BG213" s="1" t="s">
        <v>74</v>
      </c>
      <c r="BH213" s="1" t="s">
        <v>74</v>
      </c>
      <c r="BI213" s="1" t="s">
        <v>74</v>
      </c>
      <c r="BJ213" s="1" t="s">
        <v>74</v>
      </c>
      <c r="BK213" s="1" t="s">
        <v>74</v>
      </c>
      <c r="BL213" s="1" t="s">
        <v>74</v>
      </c>
      <c r="BM213" s="1" t="s">
        <v>74</v>
      </c>
      <c r="BN213" s="1">
        <v>3.9728254E7</v>
      </c>
      <c r="BO213" s="1" t="s">
        <v>74</v>
      </c>
      <c r="BP213" s="1" t="s">
        <v>74</v>
      </c>
      <c r="BQ213" s="1" t="s">
        <v>74</v>
      </c>
      <c r="BR213" s="1" t="s">
        <v>74</v>
      </c>
      <c r="BS213" s="1" t="s">
        <v>2356</v>
      </c>
      <c r="BT213" s="1" t="str">
        <f>HYPERLINK("https%3A%2F%2Fwww.webofscience.com%2Fwos%2Fwoscc%2Ffull-record%2FWOS:001386911400001","View Full Record in Web of Science")</f>
        <v>View Full Record in Web of Science</v>
      </c>
    </row>
    <row r="214" ht="12.75" customHeight="1">
      <c r="A214" s="1" t="s">
        <v>72</v>
      </c>
      <c r="B214" s="1" t="s">
        <v>2357</v>
      </c>
      <c r="C214" s="1" t="s">
        <v>74</v>
      </c>
      <c r="D214" s="1" t="s">
        <v>74</v>
      </c>
      <c r="E214" s="1" t="s">
        <v>74</v>
      </c>
      <c r="F214" s="1" t="s">
        <v>1870</v>
      </c>
      <c r="G214" s="1" t="s">
        <v>74</v>
      </c>
      <c r="H214" s="1" t="s">
        <v>74</v>
      </c>
      <c r="I214" s="1" t="s">
        <v>2358</v>
      </c>
      <c r="J214" s="1" t="s">
        <v>1872</v>
      </c>
      <c r="K214" s="1" t="s">
        <v>74</v>
      </c>
      <c r="L214" s="1" t="s">
        <v>74</v>
      </c>
      <c r="M214" s="1" t="s">
        <v>74</v>
      </c>
      <c r="N214" s="1" t="s">
        <v>74</v>
      </c>
      <c r="O214" s="1" t="s">
        <v>74</v>
      </c>
      <c r="P214" s="1" t="s">
        <v>74</v>
      </c>
      <c r="Q214" s="1" t="s">
        <v>74</v>
      </c>
      <c r="R214" s="1" t="s">
        <v>74</v>
      </c>
      <c r="S214" s="1" t="s">
        <v>74</v>
      </c>
      <c r="T214" s="1" t="s">
        <v>74</v>
      </c>
      <c r="U214" s="1" t="s">
        <v>74</v>
      </c>
      <c r="V214" s="1" t="s">
        <v>2359</v>
      </c>
      <c r="W214" s="1" t="s">
        <v>74</v>
      </c>
      <c r="X214" s="1" t="s">
        <v>74</v>
      </c>
      <c r="Y214" s="1" t="s">
        <v>74</v>
      </c>
      <c r="Z214" s="1" t="s">
        <v>74</v>
      </c>
      <c r="AA214" s="1" t="s">
        <v>2360</v>
      </c>
      <c r="AB214" s="1" t="s">
        <v>2361</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1875</v>
      </c>
      <c r="AP214" s="1" t="s">
        <v>1876</v>
      </c>
      <c r="AQ214" s="1" t="s">
        <v>74</v>
      </c>
      <c r="AR214" s="1" t="s">
        <v>74</v>
      </c>
      <c r="AS214" s="1" t="s">
        <v>74</v>
      </c>
      <c r="AT214" s="1" t="s">
        <v>214</v>
      </c>
      <c r="AU214" s="1">
        <v>2018.0</v>
      </c>
      <c r="AV214" s="1">
        <v>52.0</v>
      </c>
      <c r="AW214" s="1">
        <v>3.0</v>
      </c>
      <c r="AX214" s="1" t="s">
        <v>74</v>
      </c>
      <c r="AY214" s="1" t="s">
        <v>74</v>
      </c>
      <c r="AZ214" s="1" t="s">
        <v>74</v>
      </c>
      <c r="BA214" s="1" t="s">
        <v>74</v>
      </c>
      <c r="BB214" s="1">
        <v>161.0</v>
      </c>
      <c r="BC214" s="1" t="s">
        <v>966</v>
      </c>
      <c r="BD214" s="1" t="s">
        <v>74</v>
      </c>
      <c r="BE214" s="1" t="s">
        <v>2362</v>
      </c>
      <c r="BF214" s="2" t="str">
        <f>HYPERLINK("http://dx.doi.org/10.1136/bjsports-2016-096605","http://dx.doi.org/10.1136/bjsports-2016-096605")</f>
        <v>http://dx.doi.org/10.1136/bjsports-2016-096605</v>
      </c>
      <c r="BG214" s="1" t="s">
        <v>74</v>
      </c>
      <c r="BH214" s="1" t="s">
        <v>74</v>
      </c>
      <c r="BI214" s="1" t="s">
        <v>74</v>
      </c>
      <c r="BJ214" s="1" t="s">
        <v>74</v>
      </c>
      <c r="BK214" s="1" t="s">
        <v>74</v>
      </c>
      <c r="BL214" s="1" t="s">
        <v>74</v>
      </c>
      <c r="BM214" s="1" t="s">
        <v>74</v>
      </c>
      <c r="BN214" s="1">
        <v>2.798676E7</v>
      </c>
      <c r="BO214" s="1" t="s">
        <v>74</v>
      </c>
      <c r="BP214" s="1" t="s">
        <v>74</v>
      </c>
      <c r="BQ214" s="1" t="s">
        <v>74</v>
      </c>
      <c r="BR214" s="1" t="s">
        <v>74</v>
      </c>
      <c r="BS214" s="1" t="s">
        <v>2363</v>
      </c>
      <c r="BT214" s="1" t="str">
        <f>HYPERLINK("https%3A%2F%2Fwww.webofscience.com%2Fwos%2Fwoscc%2Ffull-record%2FWOS:000423884400009","View Full Record in Web of Science")</f>
        <v>View Full Record in Web of Science</v>
      </c>
    </row>
    <row r="215" ht="12.75" customHeight="1">
      <c r="A215" s="1" t="s">
        <v>72</v>
      </c>
      <c r="B215" s="1" t="s">
        <v>2364</v>
      </c>
      <c r="C215" s="1" t="s">
        <v>74</v>
      </c>
      <c r="D215" s="1" t="s">
        <v>74</v>
      </c>
      <c r="E215" s="1" t="s">
        <v>74</v>
      </c>
      <c r="F215" s="1" t="s">
        <v>2365</v>
      </c>
      <c r="G215" s="1" t="s">
        <v>74</v>
      </c>
      <c r="H215" s="1" t="s">
        <v>74</v>
      </c>
      <c r="I215" s="1" t="s">
        <v>2366</v>
      </c>
      <c r="J215" s="1" t="s">
        <v>2367</v>
      </c>
      <c r="K215" s="1" t="s">
        <v>74</v>
      </c>
      <c r="L215" s="1" t="s">
        <v>74</v>
      </c>
      <c r="M215" s="1" t="s">
        <v>74</v>
      </c>
      <c r="N215" s="1" t="s">
        <v>74</v>
      </c>
      <c r="O215" s="1" t="s">
        <v>74</v>
      </c>
      <c r="P215" s="1" t="s">
        <v>74</v>
      </c>
      <c r="Q215" s="1" t="s">
        <v>74</v>
      </c>
      <c r="R215" s="1" t="s">
        <v>74</v>
      </c>
      <c r="S215" s="1" t="s">
        <v>74</v>
      </c>
      <c r="T215" s="1" t="s">
        <v>74</v>
      </c>
      <c r="U215" s="1" t="s">
        <v>74</v>
      </c>
      <c r="V215" s="1" t="s">
        <v>2368</v>
      </c>
      <c r="W215" s="1" t="s">
        <v>74</v>
      </c>
      <c r="X215" s="1" t="s">
        <v>74</v>
      </c>
      <c r="Y215" s="1" t="s">
        <v>74</v>
      </c>
      <c r="Z215" s="1" t="s">
        <v>74</v>
      </c>
      <c r="AA215" s="1" t="s">
        <v>2369</v>
      </c>
      <c r="AB215" s="1" t="s">
        <v>2370</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2371</v>
      </c>
      <c r="AP215" s="1" t="s">
        <v>2372</v>
      </c>
      <c r="AQ215" s="1" t="s">
        <v>74</v>
      </c>
      <c r="AR215" s="1" t="s">
        <v>74</v>
      </c>
      <c r="AS215" s="1" t="s">
        <v>74</v>
      </c>
      <c r="AT215" s="1" t="s">
        <v>2373</v>
      </c>
      <c r="AU215" s="1">
        <v>2017.0</v>
      </c>
      <c r="AV215" s="1">
        <v>68.0</v>
      </c>
      <c r="AW215" s="1">
        <v>8.0</v>
      </c>
      <c r="AX215" s="1" t="s">
        <v>74</v>
      </c>
      <c r="AY215" s="1" t="s">
        <v>74</v>
      </c>
      <c r="AZ215" s="1" t="s">
        <v>74</v>
      </c>
      <c r="BA215" s="1" t="s">
        <v>74</v>
      </c>
      <c r="BB215" s="1">
        <v>832.0</v>
      </c>
      <c r="BC215" s="1">
        <v>838.0</v>
      </c>
      <c r="BD215" s="1" t="s">
        <v>74</v>
      </c>
      <c r="BE215" s="1" t="s">
        <v>2374</v>
      </c>
      <c r="BF215" s="2" t="str">
        <f>HYPERLINK("http://dx.doi.org/10.1176/appi.ps.201600371","http://dx.doi.org/10.1176/appi.ps.201600371")</f>
        <v>http://dx.doi.org/10.1176/appi.ps.201600371</v>
      </c>
      <c r="BG215" s="1" t="s">
        <v>74</v>
      </c>
      <c r="BH215" s="1" t="s">
        <v>74</v>
      </c>
      <c r="BI215" s="1" t="s">
        <v>74</v>
      </c>
      <c r="BJ215" s="1" t="s">
        <v>74</v>
      </c>
      <c r="BK215" s="1" t="s">
        <v>74</v>
      </c>
      <c r="BL215" s="1" t="s">
        <v>74</v>
      </c>
      <c r="BM215" s="1" t="s">
        <v>74</v>
      </c>
      <c r="BN215" s="1">
        <v>2.8457212E7</v>
      </c>
      <c r="BO215" s="1" t="s">
        <v>74</v>
      </c>
      <c r="BP215" s="1" t="s">
        <v>74</v>
      </c>
      <c r="BQ215" s="1" t="s">
        <v>74</v>
      </c>
      <c r="BR215" s="1" t="s">
        <v>74</v>
      </c>
      <c r="BS215" s="1" t="s">
        <v>2375</v>
      </c>
      <c r="BT215" s="1" t="str">
        <f>HYPERLINK("https%3A%2F%2Fwww.webofscience.com%2Fwos%2Fwoscc%2Ffull-record%2FWOS:000410173600015","View Full Record in Web of Science")</f>
        <v>View Full Record in Web of Science</v>
      </c>
    </row>
    <row r="216" ht="12.75" customHeight="1">
      <c r="A216" s="1" t="s">
        <v>72</v>
      </c>
      <c r="B216" s="1" t="s">
        <v>2376</v>
      </c>
      <c r="C216" s="1" t="s">
        <v>74</v>
      </c>
      <c r="D216" s="1" t="s">
        <v>74</v>
      </c>
      <c r="E216" s="1" t="s">
        <v>74</v>
      </c>
      <c r="F216" s="1" t="s">
        <v>2377</v>
      </c>
      <c r="G216" s="1" t="s">
        <v>74</v>
      </c>
      <c r="H216" s="1" t="s">
        <v>74</v>
      </c>
      <c r="I216" s="1" t="s">
        <v>2378</v>
      </c>
      <c r="J216" s="1" t="s">
        <v>2379</v>
      </c>
      <c r="K216" s="1" t="s">
        <v>74</v>
      </c>
      <c r="L216" s="1" t="s">
        <v>74</v>
      </c>
      <c r="M216" s="1" t="s">
        <v>74</v>
      </c>
      <c r="N216" s="1" t="s">
        <v>74</v>
      </c>
      <c r="O216" s="1" t="s">
        <v>74</v>
      </c>
      <c r="P216" s="1" t="s">
        <v>74</v>
      </c>
      <c r="Q216" s="1" t="s">
        <v>74</v>
      </c>
      <c r="R216" s="1" t="s">
        <v>74</v>
      </c>
      <c r="S216" s="1" t="s">
        <v>74</v>
      </c>
      <c r="T216" s="1" t="s">
        <v>74</v>
      </c>
      <c r="U216" s="1" t="s">
        <v>74</v>
      </c>
      <c r="V216" s="1" t="s">
        <v>2380</v>
      </c>
      <c r="W216" s="1" t="s">
        <v>74</v>
      </c>
      <c r="X216" s="1" t="s">
        <v>74</v>
      </c>
      <c r="Y216" s="1" t="s">
        <v>74</v>
      </c>
      <c r="Z216" s="1" t="s">
        <v>74</v>
      </c>
      <c r="AA216" s="1" t="s">
        <v>2381</v>
      </c>
      <c r="AB216" s="1" t="s">
        <v>2382</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2383</v>
      </c>
      <c r="AP216" s="1" t="s">
        <v>2384</v>
      </c>
      <c r="AQ216" s="1" t="s">
        <v>74</v>
      </c>
      <c r="AR216" s="1" t="s">
        <v>74</v>
      </c>
      <c r="AS216" s="1" t="s">
        <v>74</v>
      </c>
      <c r="AT216" s="1" t="s">
        <v>74</v>
      </c>
      <c r="AU216" s="1">
        <v>2015.0</v>
      </c>
      <c r="AV216" s="1">
        <v>44.0</v>
      </c>
      <c r="AW216" s="1">
        <v>36.0</v>
      </c>
      <c r="AX216" s="1" t="s">
        <v>74</v>
      </c>
      <c r="AY216" s="1" t="s">
        <v>74</v>
      </c>
      <c r="AZ216" s="1" t="s">
        <v>74</v>
      </c>
      <c r="BA216" s="1" t="s">
        <v>74</v>
      </c>
      <c r="BB216" s="1">
        <v>15774.0</v>
      </c>
      <c r="BC216" s="1">
        <v>15778.0</v>
      </c>
      <c r="BD216" s="1" t="s">
        <v>74</v>
      </c>
      <c r="BE216" s="1" t="s">
        <v>2385</v>
      </c>
      <c r="BF216" s="2" t="str">
        <f>HYPERLINK("http://dx.doi.org/10.1039/c5dt02533h","http://dx.doi.org/10.1039/c5dt02533h")</f>
        <v>http://dx.doi.org/10.1039/c5dt02533h</v>
      </c>
      <c r="BG216" s="1" t="s">
        <v>74</v>
      </c>
      <c r="BH216" s="1" t="s">
        <v>74</v>
      </c>
      <c r="BI216" s="1" t="s">
        <v>74</v>
      </c>
      <c r="BJ216" s="1" t="s">
        <v>74</v>
      </c>
      <c r="BK216" s="1" t="s">
        <v>74</v>
      </c>
      <c r="BL216" s="1" t="s">
        <v>74</v>
      </c>
      <c r="BM216" s="1" t="s">
        <v>74</v>
      </c>
      <c r="BN216" s="1">
        <v>2.6299199E7</v>
      </c>
      <c r="BO216" s="1" t="s">
        <v>74</v>
      </c>
      <c r="BP216" s="1" t="s">
        <v>74</v>
      </c>
      <c r="BQ216" s="1" t="s">
        <v>74</v>
      </c>
      <c r="BR216" s="1" t="s">
        <v>74</v>
      </c>
      <c r="BS216" s="1" t="s">
        <v>2386</v>
      </c>
      <c r="BT216" s="1" t="str">
        <f>HYPERLINK("https%3A%2F%2Fwww.webofscience.com%2Fwos%2Fwoscc%2Ffull-record%2FWOS:000360471000006","View Full Record in Web of Science")</f>
        <v>View Full Record in Web of Science</v>
      </c>
    </row>
    <row r="217" ht="12.75" customHeight="1">
      <c r="A217" s="1" t="s">
        <v>72</v>
      </c>
      <c r="B217" s="1" t="s">
        <v>2387</v>
      </c>
      <c r="C217" s="1" t="s">
        <v>74</v>
      </c>
      <c r="D217" s="1" t="s">
        <v>74</v>
      </c>
      <c r="E217" s="1" t="s">
        <v>74</v>
      </c>
      <c r="F217" s="1" t="s">
        <v>2388</v>
      </c>
      <c r="G217" s="1" t="s">
        <v>74</v>
      </c>
      <c r="H217" s="1" t="s">
        <v>74</v>
      </c>
      <c r="I217" s="1" t="s">
        <v>2389</v>
      </c>
      <c r="J217" s="1" t="s">
        <v>147</v>
      </c>
      <c r="K217" s="1" t="s">
        <v>74</v>
      </c>
      <c r="L217" s="1" t="s">
        <v>74</v>
      </c>
      <c r="M217" s="1" t="s">
        <v>74</v>
      </c>
      <c r="N217" s="1" t="s">
        <v>74</v>
      </c>
      <c r="O217" s="1" t="s">
        <v>74</v>
      </c>
      <c r="P217" s="1" t="s">
        <v>74</v>
      </c>
      <c r="Q217" s="1" t="s">
        <v>74</v>
      </c>
      <c r="R217" s="1" t="s">
        <v>74</v>
      </c>
      <c r="S217" s="1" t="s">
        <v>74</v>
      </c>
      <c r="T217" s="1" t="s">
        <v>74</v>
      </c>
      <c r="U217" s="1" t="s">
        <v>74</v>
      </c>
      <c r="V217" s="1" t="s">
        <v>2390</v>
      </c>
      <c r="W217" s="1" t="s">
        <v>74</v>
      </c>
      <c r="X217" s="1" t="s">
        <v>74</v>
      </c>
      <c r="Y217" s="1" t="s">
        <v>74</v>
      </c>
      <c r="Z217" s="1" t="s">
        <v>74</v>
      </c>
      <c r="AA217" s="1" t="s">
        <v>2391</v>
      </c>
      <c r="AB217" s="1" t="s">
        <v>2392</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151</v>
      </c>
      <c r="AP217" s="1" t="s">
        <v>74</v>
      </c>
      <c r="AQ217" s="1" t="s">
        <v>74</v>
      </c>
      <c r="AR217" s="1" t="s">
        <v>74</v>
      </c>
      <c r="AS217" s="1" t="s">
        <v>74</v>
      </c>
      <c r="AT217" s="1" t="s">
        <v>2393</v>
      </c>
      <c r="AU217" s="1">
        <v>2013.0</v>
      </c>
      <c r="AV217" s="1">
        <v>8.0</v>
      </c>
      <c r="AW217" s="1">
        <v>9.0</v>
      </c>
      <c r="AX217" s="1" t="s">
        <v>74</v>
      </c>
      <c r="AY217" s="1" t="s">
        <v>74</v>
      </c>
      <c r="AZ217" s="1" t="s">
        <v>74</v>
      </c>
      <c r="BA217" s="1" t="s">
        <v>74</v>
      </c>
      <c r="BB217" s="1" t="s">
        <v>74</v>
      </c>
      <c r="BC217" s="1" t="s">
        <v>74</v>
      </c>
      <c r="BD217" s="1" t="s">
        <v>2394</v>
      </c>
      <c r="BE217" s="1" t="s">
        <v>2395</v>
      </c>
      <c r="BF217" s="2" t="str">
        <f>HYPERLINK("http://dx.doi.org/10.1371/journal.pone.0074661","http://dx.doi.org/10.1371/journal.pone.0074661")</f>
        <v>http://dx.doi.org/10.1371/journal.pone.0074661</v>
      </c>
      <c r="BG217" s="1" t="s">
        <v>74</v>
      </c>
      <c r="BH217" s="1" t="s">
        <v>74</v>
      </c>
      <c r="BI217" s="1" t="s">
        <v>74</v>
      </c>
      <c r="BJ217" s="1" t="s">
        <v>74</v>
      </c>
      <c r="BK217" s="1" t="s">
        <v>74</v>
      </c>
      <c r="BL217" s="1" t="s">
        <v>74</v>
      </c>
      <c r="BM217" s="1" t="s">
        <v>74</v>
      </c>
      <c r="BN217" s="1">
        <v>2.405862E7</v>
      </c>
      <c r="BO217" s="1" t="s">
        <v>74</v>
      </c>
      <c r="BP217" s="1" t="s">
        <v>74</v>
      </c>
      <c r="BQ217" s="1" t="s">
        <v>74</v>
      </c>
      <c r="BR217" s="1" t="s">
        <v>74</v>
      </c>
      <c r="BS217" s="1" t="s">
        <v>2396</v>
      </c>
      <c r="BT217" s="1" t="str">
        <f>HYPERLINK("https%3A%2F%2Fwww.webofscience.com%2Fwos%2Fwoscc%2Ffull-record%2FWOS:000324695900075","View Full Record in Web of Science")</f>
        <v>View Full Record in Web of Science</v>
      </c>
    </row>
    <row r="218" ht="12.75" customHeight="1">
      <c r="A218" s="1" t="s">
        <v>72</v>
      </c>
      <c r="B218" s="1" t="s">
        <v>2397</v>
      </c>
      <c r="C218" s="1" t="s">
        <v>74</v>
      </c>
      <c r="D218" s="1" t="s">
        <v>74</v>
      </c>
      <c r="E218" s="1" t="s">
        <v>74</v>
      </c>
      <c r="F218" s="1" t="s">
        <v>2398</v>
      </c>
      <c r="G218" s="1" t="s">
        <v>74</v>
      </c>
      <c r="H218" s="1" t="s">
        <v>74</v>
      </c>
      <c r="I218" s="1" t="s">
        <v>2399</v>
      </c>
      <c r="J218" s="1" t="s">
        <v>2400</v>
      </c>
      <c r="K218" s="1" t="s">
        <v>74</v>
      </c>
      <c r="L218" s="1" t="s">
        <v>74</v>
      </c>
      <c r="M218" s="1" t="s">
        <v>74</v>
      </c>
      <c r="N218" s="1" t="s">
        <v>74</v>
      </c>
      <c r="O218" s="1" t="s">
        <v>74</v>
      </c>
      <c r="P218" s="1" t="s">
        <v>74</v>
      </c>
      <c r="Q218" s="1" t="s">
        <v>74</v>
      </c>
      <c r="R218" s="1" t="s">
        <v>74</v>
      </c>
      <c r="S218" s="1" t="s">
        <v>74</v>
      </c>
      <c r="T218" s="1" t="s">
        <v>74</v>
      </c>
      <c r="U218" s="1" t="s">
        <v>74</v>
      </c>
      <c r="V218" s="1" t="s">
        <v>2401</v>
      </c>
      <c r="W218" s="1" t="s">
        <v>74</v>
      </c>
      <c r="X218" s="1" t="s">
        <v>74</v>
      </c>
      <c r="Y218" s="1" t="s">
        <v>74</v>
      </c>
      <c r="Z218" s="1" t="s">
        <v>74</v>
      </c>
      <c r="AA218" s="1" t="s">
        <v>2402</v>
      </c>
      <c r="AB218" s="1" t="s">
        <v>2403</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2404</v>
      </c>
      <c r="AP218" s="1" t="s">
        <v>2405</v>
      </c>
      <c r="AQ218" s="1" t="s">
        <v>74</v>
      </c>
      <c r="AR218" s="1" t="s">
        <v>74</v>
      </c>
      <c r="AS218" s="1" t="s">
        <v>74</v>
      </c>
      <c r="AT218" s="1" t="s">
        <v>2406</v>
      </c>
      <c r="AU218" s="1">
        <v>2023.0</v>
      </c>
      <c r="AV218" s="1">
        <v>573.0</v>
      </c>
      <c r="AW218" s="1" t="s">
        <v>74</v>
      </c>
      <c r="AX218" s="1" t="s">
        <v>74</v>
      </c>
      <c r="AY218" s="1" t="s">
        <v>74</v>
      </c>
      <c r="AZ218" s="1" t="s">
        <v>74</v>
      </c>
      <c r="BA218" s="1" t="s">
        <v>74</v>
      </c>
      <c r="BB218" s="1" t="s">
        <v>74</v>
      </c>
      <c r="BC218" s="1" t="s">
        <v>74</v>
      </c>
      <c r="BD218" s="1">
        <v>111997.0</v>
      </c>
      <c r="BE218" s="1" t="s">
        <v>2407</v>
      </c>
      <c r="BF218" s="2" t="str">
        <f>HYPERLINK("http://dx.doi.org/10.1016/j.chemphys.2023.111997","http://dx.doi.org/10.1016/j.chemphys.2023.111997")</f>
        <v>http://dx.doi.org/10.1016/j.chemphys.2023.111997</v>
      </c>
      <c r="BG218" s="1" t="s">
        <v>74</v>
      </c>
      <c r="BH218" s="1" t="s">
        <v>1507</v>
      </c>
      <c r="BI218" s="1" t="s">
        <v>74</v>
      </c>
      <c r="BJ218" s="1" t="s">
        <v>74</v>
      </c>
      <c r="BK218" s="1" t="s">
        <v>74</v>
      </c>
      <c r="BL218" s="1" t="s">
        <v>74</v>
      </c>
      <c r="BM218" s="1" t="s">
        <v>74</v>
      </c>
      <c r="BN218" s="1" t="s">
        <v>74</v>
      </c>
      <c r="BO218" s="1" t="s">
        <v>74</v>
      </c>
      <c r="BP218" s="1" t="s">
        <v>74</v>
      </c>
      <c r="BQ218" s="1" t="s">
        <v>74</v>
      </c>
      <c r="BR218" s="1" t="s">
        <v>74</v>
      </c>
      <c r="BS218" s="1" t="s">
        <v>2408</v>
      </c>
      <c r="BT218" s="1" t="str">
        <f>HYPERLINK("https%3A%2F%2Fwww.webofscience.com%2Fwos%2Fwoscc%2Ffull-record%2FWOS:001025172500001","View Full Record in Web of Science")</f>
        <v>View Full Record in Web of Science</v>
      </c>
    </row>
    <row r="219" ht="12.75" customHeight="1">
      <c r="A219" s="1" t="s">
        <v>72</v>
      </c>
      <c r="B219" s="1" t="s">
        <v>2409</v>
      </c>
      <c r="C219" s="1" t="s">
        <v>74</v>
      </c>
      <c r="D219" s="1" t="s">
        <v>74</v>
      </c>
      <c r="E219" s="1" t="s">
        <v>74</v>
      </c>
      <c r="F219" s="1" t="s">
        <v>2410</v>
      </c>
      <c r="G219" s="1" t="s">
        <v>74</v>
      </c>
      <c r="H219" s="1" t="s">
        <v>74</v>
      </c>
      <c r="I219" s="1" t="s">
        <v>2411</v>
      </c>
      <c r="J219" s="1" t="s">
        <v>2412</v>
      </c>
      <c r="K219" s="1" t="s">
        <v>74</v>
      </c>
      <c r="L219" s="1" t="s">
        <v>74</v>
      </c>
      <c r="M219" s="1" t="s">
        <v>74</v>
      </c>
      <c r="N219" s="1" t="s">
        <v>74</v>
      </c>
      <c r="O219" s="1" t="s">
        <v>74</v>
      </c>
      <c r="P219" s="1" t="s">
        <v>74</v>
      </c>
      <c r="Q219" s="1" t="s">
        <v>74</v>
      </c>
      <c r="R219" s="1" t="s">
        <v>74</v>
      </c>
      <c r="S219" s="1" t="s">
        <v>74</v>
      </c>
      <c r="T219" s="1" t="s">
        <v>74</v>
      </c>
      <c r="U219" s="1" t="s">
        <v>74</v>
      </c>
      <c r="V219" s="1" t="s">
        <v>2413</v>
      </c>
      <c r="W219" s="1" t="s">
        <v>74</v>
      </c>
      <c r="X219" s="1" t="s">
        <v>74</v>
      </c>
      <c r="Y219" s="1" t="s">
        <v>74</v>
      </c>
      <c r="Z219" s="1" t="s">
        <v>74</v>
      </c>
      <c r="AA219" s="1" t="s">
        <v>2414</v>
      </c>
      <c r="AB219" s="1" t="s">
        <v>2415</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2416</v>
      </c>
      <c r="AP219" s="1" t="s">
        <v>2417</v>
      </c>
      <c r="AQ219" s="1" t="s">
        <v>74</v>
      </c>
      <c r="AR219" s="1" t="s">
        <v>74</v>
      </c>
      <c r="AS219" s="1" t="s">
        <v>74</v>
      </c>
      <c r="AT219" s="1" t="s">
        <v>214</v>
      </c>
      <c r="AU219" s="1">
        <v>2022.0</v>
      </c>
      <c r="AV219" s="1">
        <v>31.0</v>
      </c>
      <c r="AW219" s="1">
        <v>2.0</v>
      </c>
      <c r="AX219" s="1" t="s">
        <v>74</v>
      </c>
      <c r="AY219" s="1" t="s">
        <v>74</v>
      </c>
      <c r="AZ219" s="1" t="s">
        <v>74</v>
      </c>
      <c r="BA219" s="1" t="s">
        <v>74</v>
      </c>
      <c r="BB219" s="1">
        <v>543.0</v>
      </c>
      <c r="BC219" s="1">
        <v>564.0</v>
      </c>
      <c r="BD219" s="1" t="s">
        <v>74</v>
      </c>
      <c r="BE219" s="1" t="s">
        <v>2418</v>
      </c>
      <c r="BF219" s="2" t="str">
        <f>HYPERLINK("http://dx.doi.org/10.1007/s10531-021-02349-7","http://dx.doi.org/10.1007/s10531-021-02349-7")</f>
        <v>http://dx.doi.org/10.1007/s10531-021-02349-7</v>
      </c>
      <c r="BG219" s="1" t="s">
        <v>74</v>
      </c>
      <c r="BH219" s="1" t="s">
        <v>1519</v>
      </c>
      <c r="BI219" s="1" t="s">
        <v>74</v>
      </c>
      <c r="BJ219" s="1" t="s">
        <v>74</v>
      </c>
      <c r="BK219" s="1" t="s">
        <v>74</v>
      </c>
      <c r="BL219" s="1" t="s">
        <v>74</v>
      </c>
      <c r="BM219" s="1" t="s">
        <v>74</v>
      </c>
      <c r="BN219" s="1" t="s">
        <v>74</v>
      </c>
      <c r="BO219" s="1" t="s">
        <v>74</v>
      </c>
      <c r="BP219" s="1" t="s">
        <v>74</v>
      </c>
      <c r="BQ219" s="1" t="s">
        <v>74</v>
      </c>
      <c r="BR219" s="1" t="s">
        <v>74</v>
      </c>
      <c r="BS219" s="1" t="s">
        <v>2419</v>
      </c>
      <c r="BT219" s="1" t="str">
        <f>HYPERLINK("https%3A%2F%2Fwww.webofscience.com%2Fwos%2Fwoscc%2Ffull-record%2FWOS:000743392400001","View Full Record in Web of Science")</f>
        <v>View Full Record in Web of Science</v>
      </c>
    </row>
    <row r="220" ht="12.75" customHeight="1">
      <c r="A220" s="1" t="s">
        <v>72</v>
      </c>
      <c r="B220" s="1" t="s">
        <v>2420</v>
      </c>
      <c r="C220" s="1" t="s">
        <v>74</v>
      </c>
      <c r="D220" s="1" t="s">
        <v>74</v>
      </c>
      <c r="E220" s="1" t="s">
        <v>74</v>
      </c>
      <c r="F220" s="1" t="s">
        <v>2421</v>
      </c>
      <c r="G220" s="1" t="s">
        <v>74</v>
      </c>
      <c r="H220" s="1" t="s">
        <v>74</v>
      </c>
      <c r="I220" s="1" t="s">
        <v>2422</v>
      </c>
      <c r="J220" s="1" t="s">
        <v>2423</v>
      </c>
      <c r="K220" s="1" t="s">
        <v>74</v>
      </c>
      <c r="L220" s="1" t="s">
        <v>74</v>
      </c>
      <c r="M220" s="1" t="s">
        <v>74</v>
      </c>
      <c r="N220" s="1" t="s">
        <v>74</v>
      </c>
      <c r="O220" s="1" t="s">
        <v>74</v>
      </c>
      <c r="P220" s="1" t="s">
        <v>74</v>
      </c>
      <c r="Q220" s="1" t="s">
        <v>74</v>
      </c>
      <c r="R220" s="1" t="s">
        <v>74</v>
      </c>
      <c r="S220" s="1" t="s">
        <v>74</v>
      </c>
      <c r="T220" s="1" t="s">
        <v>74</v>
      </c>
      <c r="U220" s="1" t="s">
        <v>74</v>
      </c>
      <c r="V220" s="1" t="s">
        <v>2424</v>
      </c>
      <c r="W220" s="1" t="s">
        <v>74</v>
      </c>
      <c r="X220" s="1" t="s">
        <v>74</v>
      </c>
      <c r="Y220" s="1" t="s">
        <v>74</v>
      </c>
      <c r="Z220" s="1" t="s">
        <v>74</v>
      </c>
      <c r="AA220" s="1" t="s">
        <v>2425</v>
      </c>
      <c r="AB220" s="1" t="s">
        <v>2426</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2427</v>
      </c>
      <c r="AP220" s="1" t="s">
        <v>2428</v>
      </c>
      <c r="AQ220" s="1" t="s">
        <v>74</v>
      </c>
      <c r="AR220" s="1" t="s">
        <v>74</v>
      </c>
      <c r="AS220" s="1" t="s">
        <v>74</v>
      </c>
      <c r="AT220" s="1" t="s">
        <v>2429</v>
      </c>
      <c r="AU220" s="1">
        <v>2021.0</v>
      </c>
      <c r="AV220" s="1">
        <v>12.0</v>
      </c>
      <c r="AW220" s="1">
        <v>1.0</v>
      </c>
      <c r="AX220" s="1" t="s">
        <v>74</v>
      </c>
      <c r="AY220" s="1" t="s">
        <v>74</v>
      </c>
      <c r="AZ220" s="1" t="s">
        <v>74</v>
      </c>
      <c r="BA220" s="1" t="s">
        <v>74</v>
      </c>
      <c r="BB220" s="1" t="s">
        <v>74</v>
      </c>
      <c r="BC220" s="1" t="s">
        <v>74</v>
      </c>
      <c r="BD220" s="1">
        <v>5.0</v>
      </c>
      <c r="BE220" s="1" t="s">
        <v>2430</v>
      </c>
      <c r="BF220" s="2" t="str">
        <f>HYPERLINK("http://dx.doi.org/10.1186/s43008-021-00055-1","http://dx.doi.org/10.1186/s43008-021-00055-1")</f>
        <v>http://dx.doi.org/10.1186/s43008-021-00055-1</v>
      </c>
      <c r="BG220" s="1" t="s">
        <v>74</v>
      </c>
      <c r="BH220" s="1" t="s">
        <v>74</v>
      </c>
      <c r="BI220" s="1" t="s">
        <v>74</v>
      </c>
      <c r="BJ220" s="1" t="s">
        <v>74</v>
      </c>
      <c r="BK220" s="1" t="s">
        <v>74</v>
      </c>
      <c r="BL220" s="1" t="s">
        <v>74</v>
      </c>
      <c r="BM220" s="1" t="s">
        <v>74</v>
      </c>
      <c r="BN220" s="1">
        <v>3.3673862E7</v>
      </c>
      <c r="BO220" s="1" t="s">
        <v>74</v>
      </c>
      <c r="BP220" s="1" t="s">
        <v>74</v>
      </c>
      <c r="BQ220" s="1" t="s">
        <v>74</v>
      </c>
      <c r="BR220" s="1" t="s">
        <v>74</v>
      </c>
      <c r="BS220" s="1" t="s">
        <v>2431</v>
      </c>
      <c r="BT220" s="1" t="str">
        <f>HYPERLINK("https%3A%2F%2Fwww.webofscience.com%2Fwos%2Fwoscc%2Ffull-record%2FWOS:000625957500001","View Full Record in Web of Science")</f>
        <v>View Full Record in Web of Science</v>
      </c>
    </row>
    <row r="221" ht="12.75" customHeight="1">
      <c r="A221" s="1" t="s">
        <v>72</v>
      </c>
      <c r="B221" s="1" t="s">
        <v>2432</v>
      </c>
      <c r="C221" s="1" t="s">
        <v>74</v>
      </c>
      <c r="D221" s="1" t="s">
        <v>74</v>
      </c>
      <c r="E221" s="1" t="s">
        <v>74</v>
      </c>
      <c r="F221" s="1" t="s">
        <v>2433</v>
      </c>
      <c r="G221" s="1" t="s">
        <v>74</v>
      </c>
      <c r="H221" s="1" t="s">
        <v>74</v>
      </c>
      <c r="I221" s="1" t="s">
        <v>2434</v>
      </c>
      <c r="J221" s="1" t="s">
        <v>1842</v>
      </c>
      <c r="K221" s="1" t="s">
        <v>74</v>
      </c>
      <c r="L221" s="1" t="s">
        <v>74</v>
      </c>
      <c r="M221" s="1" t="s">
        <v>74</v>
      </c>
      <c r="N221" s="1" t="s">
        <v>74</v>
      </c>
      <c r="O221" s="1" t="s">
        <v>74</v>
      </c>
      <c r="P221" s="1" t="s">
        <v>74</v>
      </c>
      <c r="Q221" s="1" t="s">
        <v>74</v>
      </c>
      <c r="R221" s="1" t="s">
        <v>74</v>
      </c>
      <c r="S221" s="1" t="s">
        <v>74</v>
      </c>
      <c r="T221" s="1" t="s">
        <v>74</v>
      </c>
      <c r="U221" s="1" t="s">
        <v>74</v>
      </c>
      <c r="V221" s="1" t="s">
        <v>2435</v>
      </c>
      <c r="W221" s="1" t="s">
        <v>74</v>
      </c>
      <c r="X221" s="1" t="s">
        <v>74</v>
      </c>
      <c r="Y221" s="1" t="s">
        <v>74</v>
      </c>
      <c r="Z221" s="1" t="s">
        <v>74</v>
      </c>
      <c r="AA221" s="1" t="s">
        <v>2436</v>
      </c>
      <c r="AB221" s="1" t="s">
        <v>2437</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1846</v>
      </c>
      <c r="AP221" s="1" t="s">
        <v>74</v>
      </c>
      <c r="AQ221" s="1" t="s">
        <v>74</v>
      </c>
      <c r="AR221" s="1" t="s">
        <v>74</v>
      </c>
      <c r="AS221" s="1" t="s">
        <v>74</v>
      </c>
      <c r="AT221" s="1" t="s">
        <v>2438</v>
      </c>
      <c r="AU221" s="1">
        <v>2020.0</v>
      </c>
      <c r="AV221" s="1">
        <v>8.0</v>
      </c>
      <c r="AW221" s="1" t="s">
        <v>74</v>
      </c>
      <c r="AX221" s="1" t="s">
        <v>74</v>
      </c>
      <c r="AY221" s="1" t="s">
        <v>74</v>
      </c>
      <c r="AZ221" s="1" t="s">
        <v>74</v>
      </c>
      <c r="BA221" s="1" t="s">
        <v>74</v>
      </c>
      <c r="BB221" s="1" t="s">
        <v>74</v>
      </c>
      <c r="BC221" s="1" t="s">
        <v>74</v>
      </c>
      <c r="BD221" s="1">
        <v>44.0</v>
      </c>
      <c r="BE221" s="1" t="s">
        <v>2439</v>
      </c>
      <c r="BF221" s="2" t="str">
        <f>HYPERLINK("http://dx.doi.org/10.3389/fped.2020.00044","http://dx.doi.org/10.3389/fped.2020.00044")</f>
        <v>http://dx.doi.org/10.3389/fped.2020.00044</v>
      </c>
      <c r="BG221" s="1" t="s">
        <v>74</v>
      </c>
      <c r="BH221" s="1" t="s">
        <v>74</v>
      </c>
      <c r="BI221" s="1" t="s">
        <v>74</v>
      </c>
      <c r="BJ221" s="1" t="s">
        <v>74</v>
      </c>
      <c r="BK221" s="1" t="s">
        <v>74</v>
      </c>
      <c r="BL221" s="1" t="s">
        <v>74</v>
      </c>
      <c r="BM221" s="1" t="s">
        <v>74</v>
      </c>
      <c r="BN221" s="1">
        <v>3.213333E7</v>
      </c>
      <c r="BO221" s="1" t="s">
        <v>74</v>
      </c>
      <c r="BP221" s="1" t="s">
        <v>74</v>
      </c>
      <c r="BQ221" s="1" t="s">
        <v>74</v>
      </c>
      <c r="BR221" s="1" t="s">
        <v>74</v>
      </c>
      <c r="BS221" s="1" t="s">
        <v>2440</v>
      </c>
      <c r="BT221" s="1" t="str">
        <f>HYPERLINK("https%3A%2F%2Fwww.webofscience.com%2Fwos%2Fwoscc%2Ffull-record%2FWOS:000518692200001","View Full Record in Web of Science")</f>
        <v>View Full Record in Web of Science</v>
      </c>
    </row>
    <row r="222" ht="12.75" customHeight="1">
      <c r="A222" s="1" t="s">
        <v>72</v>
      </c>
      <c r="B222" s="1" t="s">
        <v>2441</v>
      </c>
      <c r="C222" s="1" t="s">
        <v>74</v>
      </c>
      <c r="D222" s="1" t="s">
        <v>74</v>
      </c>
      <c r="E222" s="1" t="s">
        <v>74</v>
      </c>
      <c r="F222" s="1" t="s">
        <v>2442</v>
      </c>
      <c r="G222" s="1" t="s">
        <v>74</v>
      </c>
      <c r="H222" s="1" t="s">
        <v>74</v>
      </c>
      <c r="I222" s="1" t="s">
        <v>2443</v>
      </c>
      <c r="J222" s="1" t="s">
        <v>682</v>
      </c>
      <c r="K222" s="1" t="s">
        <v>74</v>
      </c>
      <c r="L222" s="1" t="s">
        <v>74</v>
      </c>
      <c r="M222" s="1" t="s">
        <v>74</v>
      </c>
      <c r="N222" s="1" t="s">
        <v>74</v>
      </c>
      <c r="O222" s="1" t="s">
        <v>74</v>
      </c>
      <c r="P222" s="1" t="s">
        <v>74</v>
      </c>
      <c r="Q222" s="1" t="s">
        <v>74</v>
      </c>
      <c r="R222" s="1" t="s">
        <v>74</v>
      </c>
      <c r="S222" s="1" t="s">
        <v>74</v>
      </c>
      <c r="T222" s="1" t="s">
        <v>74</v>
      </c>
      <c r="U222" s="1" t="s">
        <v>74</v>
      </c>
      <c r="V222" s="1" t="s">
        <v>2444</v>
      </c>
      <c r="W222" s="1" t="s">
        <v>74</v>
      </c>
      <c r="X222" s="1" t="s">
        <v>74</v>
      </c>
      <c r="Y222" s="1" t="s">
        <v>74</v>
      </c>
      <c r="Z222" s="1" t="s">
        <v>74</v>
      </c>
      <c r="AA222" s="1" t="s">
        <v>2445</v>
      </c>
      <c r="AB222" s="1" t="s">
        <v>2446</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686</v>
      </c>
      <c r="AP222" s="1" t="s">
        <v>687</v>
      </c>
      <c r="AQ222" s="1" t="s">
        <v>74</v>
      </c>
      <c r="AR222" s="1" t="s">
        <v>74</v>
      </c>
      <c r="AS222" s="1" t="s">
        <v>74</v>
      </c>
      <c r="AT222" s="1" t="s">
        <v>334</v>
      </c>
      <c r="AU222" s="1">
        <v>2024.0</v>
      </c>
      <c r="AV222" s="1">
        <v>229.0</v>
      </c>
      <c r="AW222" s="1" t="s">
        <v>74</v>
      </c>
      <c r="AX222" s="1" t="s">
        <v>74</v>
      </c>
      <c r="AY222" s="1" t="s">
        <v>74</v>
      </c>
      <c r="AZ222" s="1" t="s">
        <v>74</v>
      </c>
      <c r="BA222" s="1" t="s">
        <v>74</v>
      </c>
      <c r="BB222" s="1" t="s">
        <v>74</v>
      </c>
      <c r="BC222" s="1" t="s">
        <v>74</v>
      </c>
      <c r="BD222" s="1">
        <v>112290.0</v>
      </c>
      <c r="BE222" s="1" t="s">
        <v>2447</v>
      </c>
      <c r="BF222" s="2" t="str">
        <f>HYPERLINK("http://dx.doi.org/10.1016/j.dyepig.2024.112290","http://dx.doi.org/10.1016/j.dyepig.2024.112290")</f>
        <v>http://dx.doi.org/10.1016/j.dyepig.2024.112290</v>
      </c>
      <c r="BG222" s="1" t="s">
        <v>74</v>
      </c>
      <c r="BH222" s="1" t="s">
        <v>702</v>
      </c>
      <c r="BI222" s="1" t="s">
        <v>74</v>
      </c>
      <c r="BJ222" s="1" t="s">
        <v>74</v>
      </c>
      <c r="BK222" s="1" t="s">
        <v>74</v>
      </c>
      <c r="BL222" s="1" t="s">
        <v>74</v>
      </c>
      <c r="BM222" s="1" t="s">
        <v>74</v>
      </c>
      <c r="BN222" s="1" t="s">
        <v>74</v>
      </c>
      <c r="BO222" s="1" t="s">
        <v>74</v>
      </c>
      <c r="BP222" s="1" t="s">
        <v>74</v>
      </c>
      <c r="BQ222" s="1" t="s">
        <v>74</v>
      </c>
      <c r="BR222" s="1" t="s">
        <v>74</v>
      </c>
      <c r="BS222" s="1" t="s">
        <v>2448</v>
      </c>
      <c r="BT222" s="1" t="str">
        <f>HYPERLINK("https%3A%2F%2Fwww.webofscience.com%2Fwos%2Fwoscc%2Ffull-record%2FWOS:001258563800001","View Full Record in Web of Science")</f>
        <v>View Full Record in Web of Science</v>
      </c>
    </row>
    <row r="223" ht="12.75" customHeight="1">
      <c r="A223" s="1" t="s">
        <v>72</v>
      </c>
      <c r="B223" s="1" t="s">
        <v>2449</v>
      </c>
      <c r="C223" s="1" t="s">
        <v>74</v>
      </c>
      <c r="D223" s="1" t="s">
        <v>74</v>
      </c>
      <c r="E223" s="1" t="s">
        <v>74</v>
      </c>
      <c r="F223" s="1" t="s">
        <v>2450</v>
      </c>
      <c r="G223" s="1" t="s">
        <v>74</v>
      </c>
      <c r="H223" s="1" t="s">
        <v>74</v>
      </c>
      <c r="I223" s="1" t="s">
        <v>2451</v>
      </c>
      <c r="J223" s="1" t="s">
        <v>861</v>
      </c>
      <c r="K223" s="1" t="s">
        <v>74</v>
      </c>
      <c r="L223" s="1" t="s">
        <v>74</v>
      </c>
      <c r="M223" s="1" t="s">
        <v>74</v>
      </c>
      <c r="N223" s="1" t="s">
        <v>74</v>
      </c>
      <c r="O223" s="1" t="s">
        <v>74</v>
      </c>
      <c r="P223" s="1" t="s">
        <v>74</v>
      </c>
      <c r="Q223" s="1" t="s">
        <v>74</v>
      </c>
      <c r="R223" s="1" t="s">
        <v>74</v>
      </c>
      <c r="S223" s="1" t="s">
        <v>74</v>
      </c>
      <c r="T223" s="1" t="s">
        <v>74</v>
      </c>
      <c r="U223" s="1" t="s">
        <v>74</v>
      </c>
      <c r="V223" s="1" t="s">
        <v>2452</v>
      </c>
      <c r="W223" s="1" t="s">
        <v>74</v>
      </c>
      <c r="X223" s="1" t="s">
        <v>74</v>
      </c>
      <c r="Y223" s="1" t="s">
        <v>74</v>
      </c>
      <c r="Z223" s="1" t="s">
        <v>74</v>
      </c>
      <c r="AA223" s="1" t="s">
        <v>2453</v>
      </c>
      <c r="AB223" s="1" t="s">
        <v>2454</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74</v>
      </c>
      <c r="AP223" s="1" t="s">
        <v>865</v>
      </c>
      <c r="AQ223" s="1" t="s">
        <v>74</v>
      </c>
      <c r="AR223" s="1" t="s">
        <v>74</v>
      </c>
      <c r="AS223" s="1" t="s">
        <v>74</v>
      </c>
      <c r="AT223" s="1" t="s">
        <v>745</v>
      </c>
      <c r="AU223" s="1">
        <v>2023.0</v>
      </c>
      <c r="AV223" s="1">
        <v>16.0</v>
      </c>
      <c r="AW223" s="1">
        <v>7.0</v>
      </c>
      <c r="AX223" s="1" t="s">
        <v>74</v>
      </c>
      <c r="AY223" s="1" t="s">
        <v>74</v>
      </c>
      <c r="AZ223" s="1" t="s">
        <v>74</v>
      </c>
      <c r="BA223" s="1" t="s">
        <v>74</v>
      </c>
      <c r="BB223" s="1" t="s">
        <v>74</v>
      </c>
      <c r="BC223" s="1" t="s">
        <v>74</v>
      </c>
      <c r="BD223" s="1">
        <v>960.0</v>
      </c>
      <c r="BE223" s="1" t="s">
        <v>2455</v>
      </c>
      <c r="BF223" s="2" t="str">
        <f>HYPERLINK("http://dx.doi.org/10.3390/ph16070960","http://dx.doi.org/10.3390/ph16070960")</f>
        <v>http://dx.doi.org/10.3390/ph16070960</v>
      </c>
      <c r="BG223" s="1" t="s">
        <v>74</v>
      </c>
      <c r="BH223" s="1" t="s">
        <v>74</v>
      </c>
      <c r="BI223" s="1" t="s">
        <v>74</v>
      </c>
      <c r="BJ223" s="1" t="s">
        <v>74</v>
      </c>
      <c r="BK223" s="1" t="s">
        <v>74</v>
      </c>
      <c r="BL223" s="1" t="s">
        <v>74</v>
      </c>
      <c r="BM223" s="1" t="s">
        <v>74</v>
      </c>
      <c r="BN223" s="1">
        <v>3.7513872E7</v>
      </c>
      <c r="BO223" s="1" t="s">
        <v>74</v>
      </c>
      <c r="BP223" s="1" t="s">
        <v>74</v>
      </c>
      <c r="BQ223" s="1" t="s">
        <v>74</v>
      </c>
      <c r="BR223" s="1" t="s">
        <v>74</v>
      </c>
      <c r="BS223" s="1" t="s">
        <v>2456</v>
      </c>
      <c r="BT223" s="1" t="str">
        <f>HYPERLINK("https%3A%2F%2Fwww.webofscience.com%2Fwos%2Fwoscc%2Ffull-record%2FWOS:001036388000001","View Full Record in Web of Science")</f>
        <v>View Full Record in Web of Science</v>
      </c>
    </row>
    <row r="224" ht="12.75" customHeight="1">
      <c r="A224" s="1" t="s">
        <v>72</v>
      </c>
      <c r="B224" s="1" t="s">
        <v>2457</v>
      </c>
      <c r="C224" s="1" t="s">
        <v>74</v>
      </c>
      <c r="D224" s="1" t="s">
        <v>74</v>
      </c>
      <c r="E224" s="1" t="s">
        <v>74</v>
      </c>
      <c r="F224" s="1" t="s">
        <v>2458</v>
      </c>
      <c r="G224" s="1" t="s">
        <v>74</v>
      </c>
      <c r="H224" s="1" t="s">
        <v>74</v>
      </c>
      <c r="I224" s="1" t="s">
        <v>2459</v>
      </c>
      <c r="J224" s="1" t="s">
        <v>2460</v>
      </c>
      <c r="K224" s="1" t="s">
        <v>74</v>
      </c>
      <c r="L224" s="1" t="s">
        <v>74</v>
      </c>
      <c r="M224" s="1" t="s">
        <v>74</v>
      </c>
      <c r="N224" s="1" t="s">
        <v>74</v>
      </c>
      <c r="O224" s="1" t="s">
        <v>74</v>
      </c>
      <c r="P224" s="1" t="s">
        <v>74</v>
      </c>
      <c r="Q224" s="1" t="s">
        <v>74</v>
      </c>
      <c r="R224" s="1" t="s">
        <v>74</v>
      </c>
      <c r="S224" s="1" t="s">
        <v>74</v>
      </c>
      <c r="T224" s="1" t="s">
        <v>74</v>
      </c>
      <c r="U224" s="1" t="s">
        <v>74</v>
      </c>
      <c r="V224" s="1" t="s">
        <v>2461</v>
      </c>
      <c r="W224" s="1" t="s">
        <v>74</v>
      </c>
      <c r="X224" s="1" t="s">
        <v>74</v>
      </c>
      <c r="Y224" s="1" t="s">
        <v>74</v>
      </c>
      <c r="Z224" s="1" t="s">
        <v>74</v>
      </c>
      <c r="AA224" s="1" t="s">
        <v>2462</v>
      </c>
      <c r="AB224" s="1" t="s">
        <v>2463</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2464</v>
      </c>
      <c r="AP224" s="1" t="s">
        <v>2465</v>
      </c>
      <c r="AQ224" s="1" t="s">
        <v>74</v>
      </c>
      <c r="AR224" s="1" t="s">
        <v>74</v>
      </c>
      <c r="AS224" s="1" t="s">
        <v>74</v>
      </c>
      <c r="AT224" s="1" t="s">
        <v>264</v>
      </c>
      <c r="AU224" s="1">
        <v>2022.0</v>
      </c>
      <c r="AV224" s="1">
        <v>59.0</v>
      </c>
      <c r="AW224" s="1" t="s">
        <v>74</v>
      </c>
      <c r="AX224" s="1" t="s">
        <v>74</v>
      </c>
      <c r="AY224" s="1" t="s">
        <v>74</v>
      </c>
      <c r="AZ224" s="1" t="s">
        <v>74</v>
      </c>
      <c r="BA224" s="1" t="s">
        <v>74</v>
      </c>
      <c r="BB224" s="1" t="s">
        <v>74</v>
      </c>
      <c r="BC224" s="1" t="s">
        <v>74</v>
      </c>
      <c r="BD224" s="1">
        <v>101506.0</v>
      </c>
      <c r="BE224" s="1" t="s">
        <v>2466</v>
      </c>
      <c r="BF224" s="2" t="str">
        <f>HYPERLINK("http://dx.doi.org/10.1016/j.ribaf.2021.101506","http://dx.doi.org/10.1016/j.ribaf.2021.101506")</f>
        <v>http://dx.doi.org/10.1016/j.ribaf.2021.101506</v>
      </c>
      <c r="BG224" s="1" t="s">
        <v>74</v>
      </c>
      <c r="BH224" s="1" t="s">
        <v>178</v>
      </c>
      <c r="BI224" s="1" t="s">
        <v>74</v>
      </c>
      <c r="BJ224" s="1" t="s">
        <v>74</v>
      </c>
      <c r="BK224" s="1" t="s">
        <v>74</v>
      </c>
      <c r="BL224" s="1" t="s">
        <v>74</v>
      </c>
      <c r="BM224" s="1" t="s">
        <v>74</v>
      </c>
      <c r="BN224" s="1" t="s">
        <v>74</v>
      </c>
      <c r="BO224" s="1" t="s">
        <v>74</v>
      </c>
      <c r="BP224" s="1" t="s">
        <v>74</v>
      </c>
      <c r="BQ224" s="1" t="s">
        <v>74</v>
      </c>
      <c r="BR224" s="1" t="s">
        <v>74</v>
      </c>
      <c r="BS224" s="1" t="s">
        <v>2467</v>
      </c>
      <c r="BT224" s="1" t="str">
        <f>HYPERLINK("https%3A%2F%2Fwww.webofscience.com%2Fwos%2Fwoscc%2Ffull-record%2FWOS:000708427100001","View Full Record in Web of Science")</f>
        <v>View Full Record in Web of Science</v>
      </c>
    </row>
    <row r="225" ht="12.75" customHeight="1">
      <c r="A225" s="1" t="s">
        <v>72</v>
      </c>
      <c r="B225" s="1" t="s">
        <v>2468</v>
      </c>
      <c r="C225" s="1" t="s">
        <v>74</v>
      </c>
      <c r="D225" s="1" t="s">
        <v>74</v>
      </c>
      <c r="E225" s="1" t="s">
        <v>74</v>
      </c>
      <c r="F225" s="1" t="s">
        <v>2469</v>
      </c>
      <c r="G225" s="1" t="s">
        <v>74</v>
      </c>
      <c r="H225" s="1" t="s">
        <v>74</v>
      </c>
      <c r="I225" s="1" t="s">
        <v>2470</v>
      </c>
      <c r="J225" s="1" t="s">
        <v>871</v>
      </c>
      <c r="K225" s="1" t="s">
        <v>74</v>
      </c>
      <c r="L225" s="1" t="s">
        <v>74</v>
      </c>
      <c r="M225" s="1" t="s">
        <v>74</v>
      </c>
      <c r="N225" s="1" t="s">
        <v>74</v>
      </c>
      <c r="O225" s="1" t="s">
        <v>74</v>
      </c>
      <c r="P225" s="1" t="s">
        <v>74</v>
      </c>
      <c r="Q225" s="1" t="s">
        <v>74</v>
      </c>
      <c r="R225" s="1" t="s">
        <v>74</v>
      </c>
      <c r="S225" s="1" t="s">
        <v>74</v>
      </c>
      <c r="T225" s="1" t="s">
        <v>74</v>
      </c>
      <c r="U225" s="1" t="s">
        <v>74</v>
      </c>
      <c r="V225" s="1" t="s">
        <v>2471</v>
      </c>
      <c r="W225" s="1" t="s">
        <v>74</v>
      </c>
      <c r="X225" s="1" t="s">
        <v>74</v>
      </c>
      <c r="Y225" s="1" t="s">
        <v>74</v>
      </c>
      <c r="Z225" s="1" t="s">
        <v>74</v>
      </c>
      <c r="AA225" s="1" t="s">
        <v>2472</v>
      </c>
      <c r="AB225" s="1" t="s">
        <v>2473</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74</v>
      </c>
      <c r="AP225" s="1" t="s">
        <v>875</v>
      </c>
      <c r="AQ225" s="1" t="s">
        <v>74</v>
      </c>
      <c r="AR225" s="1" t="s">
        <v>74</v>
      </c>
      <c r="AS225" s="1" t="s">
        <v>74</v>
      </c>
      <c r="AT225" s="1" t="s">
        <v>346</v>
      </c>
      <c r="AU225" s="1">
        <v>2021.0</v>
      </c>
      <c r="AV225" s="1">
        <v>14.0</v>
      </c>
      <c r="AW225" s="1">
        <v>6.0</v>
      </c>
      <c r="AX225" s="1" t="s">
        <v>74</v>
      </c>
      <c r="AY225" s="1" t="s">
        <v>74</v>
      </c>
      <c r="AZ225" s="1" t="s">
        <v>74</v>
      </c>
      <c r="BA225" s="1" t="s">
        <v>74</v>
      </c>
      <c r="BB225" s="1" t="s">
        <v>74</v>
      </c>
      <c r="BC225" s="1" t="s">
        <v>74</v>
      </c>
      <c r="BD225" s="1">
        <v>1567.0</v>
      </c>
      <c r="BE225" s="1" t="s">
        <v>2474</v>
      </c>
      <c r="BF225" s="2" t="str">
        <f>HYPERLINK("http://dx.doi.org/10.3390/ma14061567","http://dx.doi.org/10.3390/ma14061567")</f>
        <v>http://dx.doi.org/10.3390/ma14061567</v>
      </c>
      <c r="BG225" s="1" t="s">
        <v>74</v>
      </c>
      <c r="BH225" s="1" t="s">
        <v>74</v>
      </c>
      <c r="BI225" s="1" t="s">
        <v>74</v>
      </c>
      <c r="BJ225" s="1" t="s">
        <v>74</v>
      </c>
      <c r="BK225" s="1" t="s">
        <v>74</v>
      </c>
      <c r="BL225" s="1" t="s">
        <v>74</v>
      </c>
      <c r="BM225" s="1" t="s">
        <v>74</v>
      </c>
      <c r="BN225" s="1">
        <v>3.3806859E7</v>
      </c>
      <c r="BO225" s="1" t="s">
        <v>74</v>
      </c>
      <c r="BP225" s="1" t="s">
        <v>74</v>
      </c>
      <c r="BQ225" s="1" t="s">
        <v>74</v>
      </c>
      <c r="BR225" s="1" t="s">
        <v>74</v>
      </c>
      <c r="BS225" s="1" t="s">
        <v>2475</v>
      </c>
      <c r="BT225" s="1" t="str">
        <f>HYPERLINK("https%3A%2F%2Fwww.webofscience.com%2Fwos%2Fwoscc%2Ffull-record%2FWOS:000640046600001","View Full Record in Web of Science")</f>
        <v>View Full Record in Web of Science</v>
      </c>
    </row>
    <row r="226" ht="12.75" customHeight="1">
      <c r="A226" s="1" t="s">
        <v>72</v>
      </c>
      <c r="B226" s="1" t="s">
        <v>2476</v>
      </c>
      <c r="C226" s="1" t="s">
        <v>74</v>
      </c>
      <c r="D226" s="1" t="s">
        <v>74</v>
      </c>
      <c r="E226" s="1" t="s">
        <v>74</v>
      </c>
      <c r="F226" s="1" t="s">
        <v>2477</v>
      </c>
      <c r="G226" s="1" t="s">
        <v>74</v>
      </c>
      <c r="H226" s="1" t="s">
        <v>74</v>
      </c>
      <c r="I226" s="1" t="s">
        <v>2478</v>
      </c>
      <c r="J226" s="1" t="s">
        <v>2479</v>
      </c>
      <c r="K226" s="1" t="s">
        <v>74</v>
      </c>
      <c r="L226" s="1" t="s">
        <v>74</v>
      </c>
      <c r="M226" s="1" t="s">
        <v>74</v>
      </c>
      <c r="N226" s="1" t="s">
        <v>74</v>
      </c>
      <c r="O226" s="1" t="s">
        <v>74</v>
      </c>
      <c r="P226" s="1" t="s">
        <v>74</v>
      </c>
      <c r="Q226" s="1" t="s">
        <v>74</v>
      </c>
      <c r="R226" s="1" t="s">
        <v>74</v>
      </c>
      <c r="S226" s="1" t="s">
        <v>74</v>
      </c>
      <c r="T226" s="1" t="s">
        <v>74</v>
      </c>
      <c r="U226" s="1" t="s">
        <v>74</v>
      </c>
      <c r="V226" s="1" t="s">
        <v>2480</v>
      </c>
      <c r="W226" s="1" t="s">
        <v>74</v>
      </c>
      <c r="X226" s="1" t="s">
        <v>74</v>
      </c>
      <c r="Y226" s="1" t="s">
        <v>74</v>
      </c>
      <c r="Z226" s="1" t="s">
        <v>74</v>
      </c>
      <c r="AA226" s="1" t="s">
        <v>2481</v>
      </c>
      <c r="AB226" s="1" t="s">
        <v>2482</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74</v>
      </c>
      <c r="AP226" s="1" t="s">
        <v>2483</v>
      </c>
      <c r="AQ226" s="1" t="s">
        <v>74</v>
      </c>
      <c r="AR226" s="1" t="s">
        <v>74</v>
      </c>
      <c r="AS226" s="1" t="s">
        <v>74</v>
      </c>
      <c r="AT226" s="1" t="s">
        <v>2484</v>
      </c>
      <c r="AU226" s="1">
        <v>2021.0</v>
      </c>
      <c r="AV226" s="1">
        <v>12.0</v>
      </c>
      <c r="AW226" s="1" t="s">
        <v>74</v>
      </c>
      <c r="AX226" s="1" t="s">
        <v>74</v>
      </c>
      <c r="AY226" s="1" t="s">
        <v>74</v>
      </c>
      <c r="AZ226" s="1" t="s">
        <v>74</v>
      </c>
      <c r="BA226" s="1" t="s">
        <v>74</v>
      </c>
      <c r="BB226" s="1" t="s">
        <v>74</v>
      </c>
      <c r="BC226" s="1" t="s">
        <v>74</v>
      </c>
      <c r="BD226" s="1">
        <v>616993.0</v>
      </c>
      <c r="BE226" s="1" t="s">
        <v>2485</v>
      </c>
      <c r="BF226" s="2" t="str">
        <f>HYPERLINK("http://dx.doi.org/10.3389/fphar.2021.616993","http://dx.doi.org/10.3389/fphar.2021.616993")</f>
        <v>http://dx.doi.org/10.3389/fphar.2021.616993</v>
      </c>
      <c r="BG226" s="1" t="s">
        <v>74</v>
      </c>
      <c r="BH226" s="1" t="s">
        <v>74</v>
      </c>
      <c r="BI226" s="1" t="s">
        <v>74</v>
      </c>
      <c r="BJ226" s="1" t="s">
        <v>74</v>
      </c>
      <c r="BK226" s="1" t="s">
        <v>74</v>
      </c>
      <c r="BL226" s="1" t="s">
        <v>74</v>
      </c>
      <c r="BM226" s="1" t="s">
        <v>74</v>
      </c>
      <c r="BN226" s="1">
        <v>3.3716745E7</v>
      </c>
      <c r="BO226" s="1" t="s">
        <v>74</v>
      </c>
      <c r="BP226" s="1" t="s">
        <v>74</v>
      </c>
      <c r="BQ226" s="1" t="s">
        <v>74</v>
      </c>
      <c r="BR226" s="1" t="s">
        <v>74</v>
      </c>
      <c r="BS226" s="1" t="s">
        <v>2486</v>
      </c>
      <c r="BT226" s="1" t="str">
        <f>HYPERLINK("https%3A%2F%2Fwww.webofscience.com%2Fwos%2Fwoscc%2Ffull-record%2FWOS:000627848900001","View Full Record in Web of Science")</f>
        <v>View Full Record in Web of Science</v>
      </c>
    </row>
    <row r="227" ht="12.75" customHeight="1">
      <c r="A227" s="1" t="s">
        <v>72</v>
      </c>
      <c r="B227" s="1" t="s">
        <v>2487</v>
      </c>
      <c r="C227" s="1" t="s">
        <v>74</v>
      </c>
      <c r="D227" s="1" t="s">
        <v>74</v>
      </c>
      <c r="E227" s="1" t="s">
        <v>74</v>
      </c>
      <c r="F227" s="1" t="s">
        <v>2488</v>
      </c>
      <c r="G227" s="1" t="s">
        <v>74</v>
      </c>
      <c r="H227" s="1" t="s">
        <v>74</v>
      </c>
      <c r="I227" s="1" t="s">
        <v>2489</v>
      </c>
      <c r="J227" s="1" t="s">
        <v>2490</v>
      </c>
      <c r="K227" s="1" t="s">
        <v>74</v>
      </c>
      <c r="L227" s="1" t="s">
        <v>74</v>
      </c>
      <c r="M227" s="1" t="s">
        <v>74</v>
      </c>
      <c r="N227" s="1" t="s">
        <v>74</v>
      </c>
      <c r="O227" s="1" t="s">
        <v>74</v>
      </c>
      <c r="P227" s="1" t="s">
        <v>74</v>
      </c>
      <c r="Q227" s="1" t="s">
        <v>74</v>
      </c>
      <c r="R227" s="1" t="s">
        <v>74</v>
      </c>
      <c r="S227" s="1" t="s">
        <v>74</v>
      </c>
      <c r="T227" s="1" t="s">
        <v>74</v>
      </c>
      <c r="U227" s="1" t="s">
        <v>74</v>
      </c>
      <c r="V227" s="1" t="s">
        <v>2491</v>
      </c>
      <c r="W227" s="1" t="s">
        <v>74</v>
      </c>
      <c r="X227" s="1" t="s">
        <v>74</v>
      </c>
      <c r="Y227" s="1" t="s">
        <v>74</v>
      </c>
      <c r="Z227" s="1" t="s">
        <v>74</v>
      </c>
      <c r="AA227" s="1" t="s">
        <v>2492</v>
      </c>
      <c r="AB227" s="1" t="s">
        <v>2493</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2494</v>
      </c>
      <c r="AP227" s="1" t="s">
        <v>2495</v>
      </c>
      <c r="AQ227" s="1" t="s">
        <v>74</v>
      </c>
      <c r="AR227" s="1" t="s">
        <v>74</v>
      </c>
      <c r="AS227" s="1" t="s">
        <v>74</v>
      </c>
      <c r="AT227" s="1" t="s">
        <v>2496</v>
      </c>
      <c r="AU227" s="1">
        <v>2018.0</v>
      </c>
      <c r="AV227" s="1">
        <v>45.0</v>
      </c>
      <c r="AW227" s="1">
        <v>13.0</v>
      </c>
      <c r="AX227" s="1" t="s">
        <v>74</v>
      </c>
      <c r="AY227" s="1" t="s">
        <v>74</v>
      </c>
      <c r="AZ227" s="1" t="s">
        <v>74</v>
      </c>
      <c r="BA227" s="1" t="s">
        <v>74</v>
      </c>
      <c r="BB227" s="1">
        <v>6362.0</v>
      </c>
      <c r="BC227" s="1">
        <v>6370.0</v>
      </c>
      <c r="BD227" s="1" t="s">
        <v>74</v>
      </c>
      <c r="BE227" s="1" t="s">
        <v>2497</v>
      </c>
      <c r="BF227" s="2" t="str">
        <f>HYPERLINK("http://dx.doi.org/10.1029/2018GL078631","http://dx.doi.org/10.1029/2018GL078631")</f>
        <v>http://dx.doi.org/10.1029/2018GL078631</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2498</v>
      </c>
      <c r="BT227" s="1" t="str">
        <f>HYPERLINK("https%3A%2F%2Fwww.webofscience.com%2Fwos%2Fwoscc%2Ffull-record%2FWOS:000439784300005","View Full Record in Web of Science")</f>
        <v>View Full Record in Web of Science</v>
      </c>
    </row>
    <row r="228" ht="12.75" customHeight="1">
      <c r="A228" s="1" t="s">
        <v>72</v>
      </c>
      <c r="B228" s="1" t="s">
        <v>2499</v>
      </c>
      <c r="C228" s="1" t="s">
        <v>74</v>
      </c>
      <c r="D228" s="1" t="s">
        <v>74</v>
      </c>
      <c r="E228" s="1" t="s">
        <v>74</v>
      </c>
      <c r="F228" s="1" t="s">
        <v>2500</v>
      </c>
      <c r="G228" s="1" t="s">
        <v>74</v>
      </c>
      <c r="H228" s="1" t="s">
        <v>74</v>
      </c>
      <c r="I228" s="1" t="s">
        <v>2501</v>
      </c>
      <c r="J228" s="1" t="s">
        <v>2502</v>
      </c>
      <c r="K228" s="1" t="s">
        <v>74</v>
      </c>
      <c r="L228" s="1" t="s">
        <v>74</v>
      </c>
      <c r="M228" s="1" t="s">
        <v>74</v>
      </c>
      <c r="N228" s="1" t="s">
        <v>74</v>
      </c>
      <c r="O228" s="1" t="s">
        <v>74</v>
      </c>
      <c r="P228" s="1" t="s">
        <v>74</v>
      </c>
      <c r="Q228" s="1" t="s">
        <v>74</v>
      </c>
      <c r="R228" s="1" t="s">
        <v>74</v>
      </c>
      <c r="S228" s="1" t="s">
        <v>74</v>
      </c>
      <c r="T228" s="1" t="s">
        <v>74</v>
      </c>
      <c r="U228" s="1" t="s">
        <v>74</v>
      </c>
      <c r="V228" s="1" t="s">
        <v>2503</v>
      </c>
      <c r="W228" s="1" t="s">
        <v>74</v>
      </c>
      <c r="X228" s="1" t="s">
        <v>74</v>
      </c>
      <c r="Y228" s="1" t="s">
        <v>74</v>
      </c>
      <c r="Z228" s="1" t="s">
        <v>74</v>
      </c>
      <c r="AA228" s="1" t="s">
        <v>2504</v>
      </c>
      <c r="AB228" s="1" t="s">
        <v>2505</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2506</v>
      </c>
      <c r="AP228" s="1" t="s">
        <v>2507</v>
      </c>
      <c r="AQ228" s="1" t="s">
        <v>74</v>
      </c>
      <c r="AR228" s="1" t="s">
        <v>74</v>
      </c>
      <c r="AS228" s="1" t="s">
        <v>74</v>
      </c>
      <c r="AT228" s="1" t="s">
        <v>2508</v>
      </c>
      <c r="AU228" s="1">
        <v>2016.0</v>
      </c>
      <c r="AV228" s="1">
        <v>22.0</v>
      </c>
      <c r="AW228" s="1">
        <v>29.0</v>
      </c>
      <c r="AX228" s="1" t="s">
        <v>74</v>
      </c>
      <c r="AY228" s="1" t="s">
        <v>74</v>
      </c>
      <c r="AZ228" s="1" t="s">
        <v>74</v>
      </c>
      <c r="BA228" s="1" t="s">
        <v>74</v>
      </c>
      <c r="BB228" s="1">
        <v>10081.0</v>
      </c>
      <c r="BC228" s="1">
        <v>10089.0</v>
      </c>
      <c r="BD228" s="1" t="s">
        <v>74</v>
      </c>
      <c r="BE228" s="1" t="s">
        <v>2509</v>
      </c>
      <c r="BF228" s="2" t="str">
        <f>HYPERLINK("http://dx.doi.org/10.1002/chem.201601719","http://dx.doi.org/10.1002/chem.201601719")</f>
        <v>http://dx.doi.org/10.1002/chem.201601719</v>
      </c>
      <c r="BG228" s="1" t="s">
        <v>74</v>
      </c>
      <c r="BH228" s="1" t="s">
        <v>74</v>
      </c>
      <c r="BI228" s="1" t="s">
        <v>74</v>
      </c>
      <c r="BJ228" s="1" t="s">
        <v>74</v>
      </c>
      <c r="BK228" s="1" t="s">
        <v>74</v>
      </c>
      <c r="BL228" s="1" t="s">
        <v>74</v>
      </c>
      <c r="BM228" s="1" t="s">
        <v>74</v>
      </c>
      <c r="BN228" s="1">
        <v>2.7310653E7</v>
      </c>
      <c r="BO228" s="1" t="s">
        <v>74</v>
      </c>
      <c r="BP228" s="1" t="s">
        <v>74</v>
      </c>
      <c r="BQ228" s="1" t="s">
        <v>74</v>
      </c>
      <c r="BR228" s="1" t="s">
        <v>74</v>
      </c>
      <c r="BS228" s="1" t="s">
        <v>2510</v>
      </c>
      <c r="BT228" s="1" t="str">
        <f>HYPERLINK("https%3A%2F%2Fwww.webofscience.com%2Fwos%2Fwoscc%2Ffull-record%2FWOS:000380271900031","View Full Record in Web of Science")</f>
        <v>View Full Record in Web of Science</v>
      </c>
    </row>
    <row r="229" ht="12.75" customHeight="1">
      <c r="A229" s="1" t="s">
        <v>72</v>
      </c>
      <c r="B229" s="1" t="s">
        <v>2511</v>
      </c>
      <c r="C229" s="1" t="s">
        <v>74</v>
      </c>
      <c r="D229" s="1" t="s">
        <v>74</v>
      </c>
      <c r="E229" s="1" t="s">
        <v>74</v>
      </c>
      <c r="F229" s="1" t="s">
        <v>2512</v>
      </c>
      <c r="G229" s="1" t="s">
        <v>74</v>
      </c>
      <c r="H229" s="1" t="s">
        <v>74</v>
      </c>
      <c r="I229" s="1" t="s">
        <v>2513</v>
      </c>
      <c r="J229" s="1" t="s">
        <v>2379</v>
      </c>
      <c r="K229" s="1" t="s">
        <v>74</v>
      </c>
      <c r="L229" s="1" t="s">
        <v>74</v>
      </c>
      <c r="M229" s="1" t="s">
        <v>74</v>
      </c>
      <c r="N229" s="1" t="s">
        <v>74</v>
      </c>
      <c r="O229" s="1" t="s">
        <v>74</v>
      </c>
      <c r="P229" s="1" t="s">
        <v>74</v>
      </c>
      <c r="Q229" s="1" t="s">
        <v>74</v>
      </c>
      <c r="R229" s="1" t="s">
        <v>74</v>
      </c>
      <c r="S229" s="1" t="s">
        <v>74</v>
      </c>
      <c r="T229" s="1" t="s">
        <v>74</v>
      </c>
      <c r="U229" s="1" t="s">
        <v>74</v>
      </c>
      <c r="V229" s="1" t="s">
        <v>2514</v>
      </c>
      <c r="W229" s="1" t="s">
        <v>74</v>
      </c>
      <c r="X229" s="1" t="s">
        <v>74</v>
      </c>
      <c r="Y229" s="1" t="s">
        <v>74</v>
      </c>
      <c r="Z229" s="1" t="s">
        <v>74</v>
      </c>
      <c r="AA229" s="1" t="s">
        <v>2515</v>
      </c>
      <c r="AB229" s="1" t="s">
        <v>2516</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2383</v>
      </c>
      <c r="AP229" s="1" t="s">
        <v>2384</v>
      </c>
      <c r="AQ229" s="1" t="s">
        <v>74</v>
      </c>
      <c r="AR229" s="1" t="s">
        <v>74</v>
      </c>
      <c r="AS229" s="1" t="s">
        <v>74</v>
      </c>
      <c r="AT229" s="1" t="s">
        <v>74</v>
      </c>
      <c r="AU229" s="1">
        <v>2015.0</v>
      </c>
      <c r="AV229" s="1">
        <v>44.0</v>
      </c>
      <c r="AW229" s="1">
        <v>28.0</v>
      </c>
      <c r="AX229" s="1" t="s">
        <v>74</v>
      </c>
      <c r="AY229" s="1" t="s">
        <v>74</v>
      </c>
      <c r="AZ229" s="1" t="s">
        <v>74</v>
      </c>
      <c r="BA229" s="1" t="s">
        <v>74</v>
      </c>
      <c r="BB229" s="1">
        <v>12493.0</v>
      </c>
      <c r="BC229" s="1">
        <v>12496.0</v>
      </c>
      <c r="BD229" s="1" t="s">
        <v>74</v>
      </c>
      <c r="BE229" s="1" t="s">
        <v>2517</v>
      </c>
      <c r="BF229" s="2" t="str">
        <f>HYPERLINK("http://dx.doi.org/10.1039/c5dt01540e","http://dx.doi.org/10.1039/c5dt01540e")</f>
        <v>http://dx.doi.org/10.1039/c5dt01540e</v>
      </c>
      <c r="BG229" s="1" t="s">
        <v>74</v>
      </c>
      <c r="BH229" s="1" t="s">
        <v>74</v>
      </c>
      <c r="BI229" s="1" t="s">
        <v>74</v>
      </c>
      <c r="BJ229" s="1" t="s">
        <v>74</v>
      </c>
      <c r="BK229" s="1" t="s">
        <v>74</v>
      </c>
      <c r="BL229" s="1" t="s">
        <v>74</v>
      </c>
      <c r="BM229" s="1" t="s">
        <v>74</v>
      </c>
      <c r="BN229" s="1">
        <v>2.6087017E7</v>
      </c>
      <c r="BO229" s="1" t="s">
        <v>74</v>
      </c>
      <c r="BP229" s="1" t="s">
        <v>74</v>
      </c>
      <c r="BQ229" s="1" t="s">
        <v>74</v>
      </c>
      <c r="BR229" s="1" t="s">
        <v>74</v>
      </c>
      <c r="BS229" s="1" t="s">
        <v>2518</v>
      </c>
      <c r="BT229" s="1" t="str">
        <f>HYPERLINK("https%3A%2F%2Fwww.webofscience.com%2Fwos%2Fwoscc%2Ffull-record%2FWOS:000357899600005","View Full Record in Web of Science")</f>
        <v>View Full Record in Web of Science</v>
      </c>
    </row>
    <row r="230" ht="12.75" customHeight="1">
      <c r="A230" s="1" t="s">
        <v>72</v>
      </c>
      <c r="B230" s="1" t="s">
        <v>2519</v>
      </c>
      <c r="C230" s="1" t="s">
        <v>74</v>
      </c>
      <c r="D230" s="1" t="s">
        <v>74</v>
      </c>
      <c r="E230" s="1" t="s">
        <v>74</v>
      </c>
      <c r="F230" s="1" t="s">
        <v>2520</v>
      </c>
      <c r="G230" s="1" t="s">
        <v>74</v>
      </c>
      <c r="H230" s="1" t="s">
        <v>74</v>
      </c>
      <c r="I230" s="1" t="s">
        <v>2521</v>
      </c>
      <c r="J230" s="1" t="s">
        <v>2522</v>
      </c>
      <c r="K230" s="1" t="s">
        <v>74</v>
      </c>
      <c r="L230" s="1" t="s">
        <v>74</v>
      </c>
      <c r="M230" s="1" t="s">
        <v>74</v>
      </c>
      <c r="N230" s="1" t="s">
        <v>74</v>
      </c>
      <c r="O230" s="1" t="s">
        <v>74</v>
      </c>
      <c r="P230" s="1" t="s">
        <v>74</v>
      </c>
      <c r="Q230" s="1" t="s">
        <v>74</v>
      </c>
      <c r="R230" s="1" t="s">
        <v>74</v>
      </c>
      <c r="S230" s="1" t="s">
        <v>74</v>
      </c>
      <c r="T230" s="1" t="s">
        <v>74</v>
      </c>
      <c r="U230" s="1" t="s">
        <v>74</v>
      </c>
      <c r="V230" s="1" t="s">
        <v>2523</v>
      </c>
      <c r="W230" s="1" t="s">
        <v>74</v>
      </c>
      <c r="X230" s="1" t="s">
        <v>74</v>
      </c>
      <c r="Y230" s="1" t="s">
        <v>74</v>
      </c>
      <c r="Z230" s="1" t="s">
        <v>74</v>
      </c>
      <c r="AA230" s="1" t="s">
        <v>2524</v>
      </c>
      <c r="AB230" s="1" t="s">
        <v>2525</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2526</v>
      </c>
      <c r="AP230" s="1" t="s">
        <v>2527</v>
      </c>
      <c r="AQ230" s="1" t="s">
        <v>74</v>
      </c>
      <c r="AR230" s="1" t="s">
        <v>74</v>
      </c>
      <c r="AS230" s="1" t="s">
        <v>74</v>
      </c>
      <c r="AT230" s="1" t="s">
        <v>447</v>
      </c>
      <c r="AU230" s="1">
        <v>2012.0</v>
      </c>
      <c r="AV230" s="1">
        <v>66.0</v>
      </c>
      <c r="AW230" s="1">
        <v>8.0</v>
      </c>
      <c r="AX230" s="1" t="s">
        <v>74</v>
      </c>
      <c r="AY230" s="1" t="s">
        <v>74</v>
      </c>
      <c r="AZ230" s="1" t="s">
        <v>74</v>
      </c>
      <c r="BA230" s="1" t="s">
        <v>74</v>
      </c>
      <c r="BB230" s="1" t="s">
        <v>74</v>
      </c>
      <c r="BC230" s="1" t="s">
        <v>74</v>
      </c>
      <c r="BD230" s="1">
        <v>222.0</v>
      </c>
      <c r="BE230" s="1" t="s">
        <v>2528</v>
      </c>
      <c r="BF230" s="2" t="str">
        <f>HYPERLINK("http://dx.doi.org/10.1140/epjd/e2012-30016-6","http://dx.doi.org/10.1140/epjd/e2012-30016-6")</f>
        <v>http://dx.doi.org/10.1140/epjd/e2012-30016-6</v>
      </c>
      <c r="BG230" s="1" t="s">
        <v>74</v>
      </c>
      <c r="BH230" s="1" t="s">
        <v>74</v>
      </c>
      <c r="BI230" s="1" t="s">
        <v>74</v>
      </c>
      <c r="BJ230" s="1" t="s">
        <v>74</v>
      </c>
      <c r="BK230" s="1" t="s">
        <v>74</v>
      </c>
      <c r="BL230" s="1" t="s">
        <v>74</v>
      </c>
      <c r="BM230" s="1" t="s">
        <v>74</v>
      </c>
      <c r="BN230" s="1" t="s">
        <v>74</v>
      </c>
      <c r="BO230" s="1" t="s">
        <v>74</v>
      </c>
      <c r="BP230" s="1" t="s">
        <v>74</v>
      </c>
      <c r="BQ230" s="1" t="s">
        <v>74</v>
      </c>
      <c r="BR230" s="1" t="s">
        <v>74</v>
      </c>
      <c r="BS230" s="1" t="s">
        <v>2529</v>
      </c>
      <c r="BT230" s="1" t="str">
        <f>HYPERLINK("https%3A%2F%2Fwww.webofscience.com%2Fwos%2Fwoscc%2Ffull-record%2FWOS:000308253500004","View Full Record in Web of Science")</f>
        <v>View Full Record in Web of Science</v>
      </c>
    </row>
    <row r="231" ht="12.75" customHeight="1">
      <c r="A231" s="1" t="s">
        <v>72</v>
      </c>
      <c r="B231" s="1" t="s">
        <v>2530</v>
      </c>
      <c r="C231" s="1" t="s">
        <v>74</v>
      </c>
      <c r="D231" s="1" t="s">
        <v>74</v>
      </c>
      <c r="E231" s="1" t="s">
        <v>74</v>
      </c>
      <c r="F231" s="1" t="s">
        <v>2530</v>
      </c>
      <c r="G231" s="1" t="s">
        <v>74</v>
      </c>
      <c r="H231" s="1" t="s">
        <v>74</v>
      </c>
      <c r="I231" s="1" t="s">
        <v>2531</v>
      </c>
      <c r="J231" s="1" t="s">
        <v>2532</v>
      </c>
      <c r="K231" s="1" t="s">
        <v>74</v>
      </c>
      <c r="L231" s="1" t="s">
        <v>74</v>
      </c>
      <c r="M231" s="1" t="s">
        <v>74</v>
      </c>
      <c r="N231" s="1" t="s">
        <v>74</v>
      </c>
      <c r="O231" s="1" t="s">
        <v>74</v>
      </c>
      <c r="P231" s="1" t="s">
        <v>74</v>
      </c>
      <c r="Q231" s="1" t="s">
        <v>74</v>
      </c>
      <c r="R231" s="1" t="s">
        <v>74</v>
      </c>
      <c r="S231" s="1" t="s">
        <v>74</v>
      </c>
      <c r="T231" s="1" t="s">
        <v>74</v>
      </c>
      <c r="U231" s="1" t="s">
        <v>74</v>
      </c>
      <c r="V231" s="1" t="s">
        <v>2533</v>
      </c>
      <c r="W231" s="1" t="s">
        <v>74</v>
      </c>
      <c r="X231" s="1" t="s">
        <v>74</v>
      </c>
      <c r="Y231" s="1" t="s">
        <v>74</v>
      </c>
      <c r="Z231" s="1" t="s">
        <v>74</v>
      </c>
      <c r="AA231" s="1" t="s">
        <v>2534</v>
      </c>
      <c r="AB231" s="1" t="s">
        <v>2535</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2536</v>
      </c>
      <c r="AP231" s="1" t="s">
        <v>2537</v>
      </c>
      <c r="AQ231" s="1" t="s">
        <v>74</v>
      </c>
      <c r="AR231" s="1" t="s">
        <v>74</v>
      </c>
      <c r="AS231" s="1" t="s">
        <v>74</v>
      </c>
      <c r="AT231" s="1" t="s">
        <v>426</v>
      </c>
      <c r="AU231" s="1">
        <v>2002.0</v>
      </c>
      <c r="AV231" s="1">
        <v>339.0</v>
      </c>
      <c r="AW231" s="1" t="s">
        <v>74</v>
      </c>
      <c r="AX231" s="1" t="s">
        <v>74</v>
      </c>
      <c r="AY231" s="1" t="s">
        <v>74</v>
      </c>
      <c r="AZ231" s="1" t="s">
        <v>74</v>
      </c>
      <c r="BA231" s="1" t="s">
        <v>74</v>
      </c>
      <c r="BB231" s="1">
        <v>224.0</v>
      </c>
      <c r="BC231" s="1">
        <v>232.0</v>
      </c>
      <c r="BD231" s="1" t="s">
        <v>2538</v>
      </c>
      <c r="BE231" s="1" t="s">
        <v>2539</v>
      </c>
      <c r="BF231" s="2" t="str">
        <f>HYPERLINK("http://dx.doi.org/10.1016/S0020-1693(02)00942-8","http://dx.doi.org/10.1016/S0020-1693(02)00942-8")</f>
        <v>http://dx.doi.org/10.1016/S0020-1693(02)00942-8</v>
      </c>
      <c r="BG231" s="1" t="s">
        <v>74</v>
      </c>
      <c r="BH231" s="1" t="s">
        <v>74</v>
      </c>
      <c r="BI231" s="1" t="s">
        <v>74</v>
      </c>
      <c r="BJ231" s="1" t="s">
        <v>74</v>
      </c>
      <c r="BK231" s="1" t="s">
        <v>74</v>
      </c>
      <c r="BL231" s="1" t="s">
        <v>74</v>
      </c>
      <c r="BM231" s="1" t="s">
        <v>74</v>
      </c>
      <c r="BN231" s="1" t="s">
        <v>74</v>
      </c>
      <c r="BO231" s="1" t="s">
        <v>74</v>
      </c>
      <c r="BP231" s="1" t="s">
        <v>74</v>
      </c>
      <c r="BQ231" s="1" t="s">
        <v>74</v>
      </c>
      <c r="BR231" s="1" t="s">
        <v>74</v>
      </c>
      <c r="BS231" s="1" t="s">
        <v>2540</v>
      </c>
      <c r="BT231" s="1" t="str">
        <f>HYPERLINK("https%3A%2F%2Fwww.webofscience.com%2Fwos%2Fwoscc%2Ffull-record%2FWOS:000179281100028","View Full Record in Web of Science")</f>
        <v>View Full Record in Web of Science</v>
      </c>
    </row>
    <row r="232" ht="12.75" customHeight="1">
      <c r="A232" s="1" t="s">
        <v>72</v>
      </c>
      <c r="B232" s="1" t="s">
        <v>2541</v>
      </c>
      <c r="C232" s="1" t="s">
        <v>74</v>
      </c>
      <c r="D232" s="1" t="s">
        <v>74</v>
      </c>
      <c r="E232" s="1" t="s">
        <v>74</v>
      </c>
      <c r="F232" s="1" t="s">
        <v>2542</v>
      </c>
      <c r="G232" s="1" t="s">
        <v>74</v>
      </c>
      <c r="H232" s="1" t="s">
        <v>74</v>
      </c>
      <c r="I232" s="1" t="s">
        <v>2543</v>
      </c>
      <c r="J232" s="1" t="s">
        <v>2544</v>
      </c>
      <c r="K232" s="1" t="s">
        <v>74</v>
      </c>
      <c r="L232" s="1" t="s">
        <v>74</v>
      </c>
      <c r="M232" s="1" t="s">
        <v>74</v>
      </c>
      <c r="N232" s="1" t="s">
        <v>74</v>
      </c>
      <c r="O232" s="1" t="s">
        <v>74</v>
      </c>
      <c r="P232" s="1" t="s">
        <v>74</v>
      </c>
      <c r="Q232" s="1" t="s">
        <v>74</v>
      </c>
      <c r="R232" s="1" t="s">
        <v>74</v>
      </c>
      <c r="S232" s="1" t="s">
        <v>74</v>
      </c>
      <c r="T232" s="1" t="s">
        <v>74</v>
      </c>
      <c r="U232" s="1" t="s">
        <v>74</v>
      </c>
      <c r="V232" s="1" t="s">
        <v>2545</v>
      </c>
      <c r="W232" s="1" t="s">
        <v>74</v>
      </c>
      <c r="X232" s="1" t="s">
        <v>74</v>
      </c>
      <c r="Y232" s="1" t="s">
        <v>74</v>
      </c>
      <c r="Z232" s="1" t="s">
        <v>74</v>
      </c>
      <c r="AA232" s="1" t="s">
        <v>2546</v>
      </c>
      <c r="AB232" s="1" t="s">
        <v>2547</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2548</v>
      </c>
      <c r="AP232" s="1" t="s">
        <v>2549</v>
      </c>
      <c r="AQ232" s="1" t="s">
        <v>74</v>
      </c>
      <c r="AR232" s="1" t="s">
        <v>74</v>
      </c>
      <c r="AS232" s="1" t="s">
        <v>74</v>
      </c>
      <c r="AT232" s="1" t="s">
        <v>2550</v>
      </c>
      <c r="AU232" s="1">
        <v>2025.0</v>
      </c>
      <c r="AV232" s="1" t="s">
        <v>74</v>
      </c>
      <c r="AW232" s="1" t="s">
        <v>74</v>
      </c>
      <c r="AX232" s="1" t="s">
        <v>74</v>
      </c>
      <c r="AY232" s="1" t="s">
        <v>74</v>
      </c>
      <c r="AZ232" s="1" t="s">
        <v>74</v>
      </c>
      <c r="BA232" s="1" t="s">
        <v>74</v>
      </c>
      <c r="BB232" s="1" t="s">
        <v>74</v>
      </c>
      <c r="BC232" s="1" t="s">
        <v>74</v>
      </c>
      <c r="BD232" s="1" t="s">
        <v>74</v>
      </c>
      <c r="BE232" s="1" t="s">
        <v>2551</v>
      </c>
      <c r="BF232" s="2" t="str">
        <f>HYPERLINK("http://dx.doi.org/10.1177/13591053251330798","http://dx.doi.org/10.1177/13591053251330798")</f>
        <v>http://dx.doi.org/10.1177/13591053251330798</v>
      </c>
      <c r="BG232" s="1" t="s">
        <v>74</v>
      </c>
      <c r="BH232" s="1" t="s">
        <v>289</v>
      </c>
      <c r="BI232" s="1" t="s">
        <v>74</v>
      </c>
      <c r="BJ232" s="1" t="s">
        <v>74</v>
      </c>
      <c r="BK232" s="1" t="s">
        <v>74</v>
      </c>
      <c r="BL232" s="1" t="s">
        <v>74</v>
      </c>
      <c r="BM232" s="1" t="s">
        <v>74</v>
      </c>
      <c r="BN232" s="1">
        <v>4.0230203E7</v>
      </c>
      <c r="BO232" s="1" t="s">
        <v>74</v>
      </c>
      <c r="BP232" s="1" t="s">
        <v>74</v>
      </c>
      <c r="BQ232" s="1" t="s">
        <v>74</v>
      </c>
      <c r="BR232" s="1" t="s">
        <v>74</v>
      </c>
      <c r="BS232" s="1" t="s">
        <v>2552</v>
      </c>
      <c r="BT232" s="1" t="str">
        <f>HYPERLINK("https%3A%2F%2Fwww.webofscience.com%2Fwos%2Fwoscc%2Ffull-record%2FWOS:001467820800001","View Full Record in Web of Science")</f>
        <v>View Full Record in Web of Science</v>
      </c>
    </row>
    <row r="233" ht="12.75" customHeight="1">
      <c r="A233" s="1" t="s">
        <v>72</v>
      </c>
      <c r="B233" s="1" t="s">
        <v>2553</v>
      </c>
      <c r="C233" s="1" t="s">
        <v>74</v>
      </c>
      <c r="D233" s="1" t="s">
        <v>74</v>
      </c>
      <c r="E233" s="1" t="s">
        <v>74</v>
      </c>
      <c r="F233" s="1" t="s">
        <v>2554</v>
      </c>
      <c r="G233" s="1" t="s">
        <v>74</v>
      </c>
      <c r="H233" s="1" t="s">
        <v>74</v>
      </c>
      <c r="I233" s="1" t="s">
        <v>2555</v>
      </c>
      <c r="J233" s="1" t="s">
        <v>480</v>
      </c>
      <c r="K233" s="1" t="s">
        <v>74</v>
      </c>
      <c r="L233" s="1" t="s">
        <v>74</v>
      </c>
      <c r="M233" s="1" t="s">
        <v>74</v>
      </c>
      <c r="N233" s="1" t="s">
        <v>74</v>
      </c>
      <c r="O233" s="1" t="s">
        <v>74</v>
      </c>
      <c r="P233" s="1" t="s">
        <v>74</v>
      </c>
      <c r="Q233" s="1" t="s">
        <v>74</v>
      </c>
      <c r="R233" s="1" t="s">
        <v>74</v>
      </c>
      <c r="S233" s="1" t="s">
        <v>74</v>
      </c>
      <c r="T233" s="1" t="s">
        <v>74</v>
      </c>
      <c r="U233" s="1" t="s">
        <v>74</v>
      </c>
      <c r="V233" s="1" t="s">
        <v>2556</v>
      </c>
      <c r="W233" s="1" t="s">
        <v>74</v>
      </c>
      <c r="X233" s="1" t="s">
        <v>74</v>
      </c>
      <c r="Y233" s="1" t="s">
        <v>74</v>
      </c>
      <c r="Z233" s="1" t="s">
        <v>74</v>
      </c>
      <c r="AA233" s="1" t="s">
        <v>2557</v>
      </c>
      <c r="AB233" s="1" t="s">
        <v>2558</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484</v>
      </c>
      <c r="AP233" s="1" t="s">
        <v>74</v>
      </c>
      <c r="AQ233" s="1" t="s">
        <v>74</v>
      </c>
      <c r="AR233" s="1" t="s">
        <v>74</v>
      </c>
      <c r="AS233" s="1" t="s">
        <v>74</v>
      </c>
      <c r="AT233" s="1" t="s">
        <v>2559</v>
      </c>
      <c r="AU233" s="1">
        <v>2023.0</v>
      </c>
      <c r="AV233" s="1">
        <v>13.0</v>
      </c>
      <c r="AW233" s="1">
        <v>1.0</v>
      </c>
      <c r="AX233" s="1" t="s">
        <v>74</v>
      </c>
      <c r="AY233" s="1" t="s">
        <v>74</v>
      </c>
      <c r="AZ233" s="1" t="s">
        <v>74</v>
      </c>
      <c r="BA233" s="1" t="s">
        <v>74</v>
      </c>
      <c r="BB233" s="1" t="s">
        <v>74</v>
      </c>
      <c r="BC233" s="1" t="s">
        <v>74</v>
      </c>
      <c r="BD233" s="1">
        <v>21862.0</v>
      </c>
      <c r="BE233" s="1" t="s">
        <v>2560</v>
      </c>
      <c r="BF233" s="2" t="str">
        <f>HYPERLINK("http://dx.doi.org/10.1038/s41598-023-48522-6","http://dx.doi.org/10.1038/s41598-023-48522-6")</f>
        <v>http://dx.doi.org/10.1038/s41598-023-48522-6</v>
      </c>
      <c r="BG233" s="1" t="s">
        <v>74</v>
      </c>
      <c r="BH233" s="1" t="s">
        <v>74</v>
      </c>
      <c r="BI233" s="1" t="s">
        <v>74</v>
      </c>
      <c r="BJ233" s="1" t="s">
        <v>74</v>
      </c>
      <c r="BK233" s="1" t="s">
        <v>74</v>
      </c>
      <c r="BL233" s="1" t="s">
        <v>74</v>
      </c>
      <c r="BM233" s="1" t="s">
        <v>74</v>
      </c>
      <c r="BN233" s="1">
        <v>3.80712E7</v>
      </c>
      <c r="BO233" s="1" t="s">
        <v>74</v>
      </c>
      <c r="BP233" s="1" t="s">
        <v>74</v>
      </c>
      <c r="BQ233" s="1" t="s">
        <v>74</v>
      </c>
      <c r="BR233" s="1" t="s">
        <v>74</v>
      </c>
      <c r="BS233" s="1" t="s">
        <v>2561</v>
      </c>
      <c r="BT233" s="1" t="str">
        <f>HYPERLINK("https%3A%2F%2Fwww.webofscience.com%2Fwos%2Fwoscc%2Ffull-record%2FWOS:001118820300003","View Full Record in Web of Science")</f>
        <v>View Full Record in Web of Science</v>
      </c>
    </row>
    <row r="234" ht="12.75" customHeight="1">
      <c r="A234" s="1" t="s">
        <v>462</v>
      </c>
      <c r="B234" s="1" t="s">
        <v>2562</v>
      </c>
      <c r="C234" s="1" t="s">
        <v>74</v>
      </c>
      <c r="D234" s="1" t="s">
        <v>74</v>
      </c>
      <c r="E234" s="1" t="s">
        <v>489</v>
      </c>
      <c r="F234" s="1" t="s">
        <v>2563</v>
      </c>
      <c r="G234" s="1" t="s">
        <v>74</v>
      </c>
      <c r="H234" s="1" t="s">
        <v>74</v>
      </c>
      <c r="I234" s="1" t="s">
        <v>2564</v>
      </c>
      <c r="J234" s="1" t="s">
        <v>1829</v>
      </c>
      <c r="K234" s="1" t="s">
        <v>74</v>
      </c>
      <c r="L234" s="1" t="s">
        <v>74</v>
      </c>
      <c r="M234" s="1" t="s">
        <v>74</v>
      </c>
      <c r="N234" s="1" t="s">
        <v>74</v>
      </c>
      <c r="O234" s="1" t="s">
        <v>1830</v>
      </c>
      <c r="P234" s="1" t="s">
        <v>1831</v>
      </c>
      <c r="Q234" s="1" t="s">
        <v>1832</v>
      </c>
      <c r="R234" s="1" t="s">
        <v>74</v>
      </c>
      <c r="S234" s="1" t="s">
        <v>74</v>
      </c>
      <c r="T234" s="1" t="s">
        <v>74</v>
      </c>
      <c r="U234" s="1" t="s">
        <v>74</v>
      </c>
      <c r="V234" s="1" t="s">
        <v>2565</v>
      </c>
      <c r="W234" s="1" t="s">
        <v>74</v>
      </c>
      <c r="X234" s="1" t="s">
        <v>74</v>
      </c>
      <c r="Y234" s="1" t="s">
        <v>74</v>
      </c>
      <c r="Z234" s="1" t="s">
        <v>74</v>
      </c>
      <c r="AA234" s="1" t="s">
        <v>2566</v>
      </c>
      <c r="AB234" s="1" t="s">
        <v>2567</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74</v>
      </c>
      <c r="AP234" s="1" t="s">
        <v>74</v>
      </c>
      <c r="AQ234" s="1" t="s">
        <v>1836</v>
      </c>
      <c r="AR234" s="1" t="s">
        <v>74</v>
      </c>
      <c r="AS234" s="1" t="s">
        <v>74</v>
      </c>
      <c r="AT234" s="1" t="s">
        <v>74</v>
      </c>
      <c r="AU234" s="1">
        <v>2022.0</v>
      </c>
      <c r="AV234" s="1" t="s">
        <v>74</v>
      </c>
      <c r="AW234" s="1" t="s">
        <v>74</v>
      </c>
      <c r="AX234" s="1" t="s">
        <v>74</v>
      </c>
      <c r="AY234" s="1" t="s">
        <v>74</v>
      </c>
      <c r="AZ234" s="1" t="s">
        <v>74</v>
      </c>
      <c r="BA234" s="1" t="s">
        <v>74</v>
      </c>
      <c r="BB234" s="1">
        <v>801.0</v>
      </c>
      <c r="BC234" s="1">
        <v>805.0</v>
      </c>
      <c r="BD234" s="1" t="s">
        <v>74</v>
      </c>
      <c r="BE234" s="1" t="s">
        <v>2568</v>
      </c>
      <c r="BF234" s="2" t="str">
        <f>HYPERLINK("http://dx.doi.org/10.1109/CSNDSP54353.2022.9907984","http://dx.doi.org/10.1109/CSNDSP54353.2022.9907984")</f>
        <v>http://dx.doi.org/10.1109/CSNDSP54353.2022.9907984</v>
      </c>
      <c r="BG234" s="1" t="s">
        <v>74</v>
      </c>
      <c r="BH234" s="1" t="s">
        <v>74</v>
      </c>
      <c r="BI234" s="1" t="s">
        <v>74</v>
      </c>
      <c r="BJ234" s="1" t="s">
        <v>74</v>
      </c>
      <c r="BK234" s="1" t="s">
        <v>74</v>
      </c>
      <c r="BL234" s="1" t="s">
        <v>74</v>
      </c>
      <c r="BM234" s="1" t="s">
        <v>74</v>
      </c>
      <c r="BN234" s="1" t="s">
        <v>74</v>
      </c>
      <c r="BO234" s="1" t="s">
        <v>74</v>
      </c>
      <c r="BP234" s="1" t="s">
        <v>74</v>
      </c>
      <c r="BQ234" s="1" t="s">
        <v>74</v>
      </c>
      <c r="BR234" s="1" t="s">
        <v>74</v>
      </c>
      <c r="BS234" s="1" t="s">
        <v>2569</v>
      </c>
      <c r="BT234" s="1" t="str">
        <f>HYPERLINK("https%3A%2F%2Fwww.webofscience.com%2Fwos%2Fwoscc%2Ffull-record%2FWOS:001331792600152","View Full Record in Web of Science")</f>
        <v>View Full Record in Web of Science</v>
      </c>
    </row>
    <row r="235" ht="12.75" customHeight="1">
      <c r="A235" s="1" t="s">
        <v>72</v>
      </c>
      <c r="B235" s="1" t="s">
        <v>2570</v>
      </c>
      <c r="C235" s="1" t="s">
        <v>74</v>
      </c>
      <c r="D235" s="1" t="s">
        <v>74</v>
      </c>
      <c r="E235" s="1" t="s">
        <v>74</v>
      </c>
      <c r="F235" s="1" t="s">
        <v>2571</v>
      </c>
      <c r="G235" s="1" t="s">
        <v>74</v>
      </c>
      <c r="H235" s="1" t="s">
        <v>74</v>
      </c>
      <c r="I235" s="1" t="s">
        <v>2572</v>
      </c>
      <c r="J235" s="1" t="s">
        <v>1057</v>
      </c>
      <c r="K235" s="1" t="s">
        <v>74</v>
      </c>
      <c r="L235" s="1" t="s">
        <v>74</v>
      </c>
      <c r="M235" s="1" t="s">
        <v>74</v>
      </c>
      <c r="N235" s="1" t="s">
        <v>74</v>
      </c>
      <c r="O235" s="1" t="s">
        <v>74</v>
      </c>
      <c r="P235" s="1" t="s">
        <v>74</v>
      </c>
      <c r="Q235" s="1" t="s">
        <v>74</v>
      </c>
      <c r="R235" s="1" t="s">
        <v>74</v>
      </c>
      <c r="S235" s="1" t="s">
        <v>74</v>
      </c>
      <c r="T235" s="1" t="s">
        <v>74</v>
      </c>
      <c r="U235" s="1" t="s">
        <v>74</v>
      </c>
      <c r="V235" s="1" t="s">
        <v>2573</v>
      </c>
      <c r="W235" s="1" t="s">
        <v>74</v>
      </c>
      <c r="X235" s="1" t="s">
        <v>74</v>
      </c>
      <c r="Y235" s="1" t="s">
        <v>74</v>
      </c>
      <c r="Z235" s="1" t="s">
        <v>74</v>
      </c>
      <c r="AA235" s="1" t="s">
        <v>2574</v>
      </c>
      <c r="AB235" s="1" t="s">
        <v>2575</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74</v>
      </c>
      <c r="AP235" s="1" t="s">
        <v>1061</v>
      </c>
      <c r="AQ235" s="1" t="s">
        <v>74</v>
      </c>
      <c r="AR235" s="1" t="s">
        <v>74</v>
      </c>
      <c r="AS235" s="1" t="s">
        <v>74</v>
      </c>
      <c r="AT235" s="1" t="s">
        <v>745</v>
      </c>
      <c r="AU235" s="1">
        <v>2021.0</v>
      </c>
      <c r="AV235" s="1">
        <v>18.0</v>
      </c>
      <c r="AW235" s="1">
        <v>14.0</v>
      </c>
      <c r="AX235" s="1" t="s">
        <v>74</v>
      </c>
      <c r="AY235" s="1" t="s">
        <v>74</v>
      </c>
      <c r="AZ235" s="1" t="s">
        <v>74</v>
      </c>
      <c r="BA235" s="1" t="s">
        <v>74</v>
      </c>
      <c r="BB235" s="1" t="s">
        <v>74</v>
      </c>
      <c r="BC235" s="1" t="s">
        <v>74</v>
      </c>
      <c r="BD235" s="1">
        <v>7381.0</v>
      </c>
      <c r="BE235" s="1" t="s">
        <v>2576</v>
      </c>
      <c r="BF235" s="2" t="str">
        <f>HYPERLINK("http://dx.doi.org/10.3390/ijerph18147381","http://dx.doi.org/10.3390/ijerph18147381")</f>
        <v>http://dx.doi.org/10.3390/ijerph18147381</v>
      </c>
      <c r="BG235" s="1" t="s">
        <v>74</v>
      </c>
      <c r="BH235" s="1" t="s">
        <v>74</v>
      </c>
      <c r="BI235" s="1" t="s">
        <v>74</v>
      </c>
      <c r="BJ235" s="1" t="s">
        <v>74</v>
      </c>
      <c r="BK235" s="1" t="s">
        <v>74</v>
      </c>
      <c r="BL235" s="1" t="s">
        <v>74</v>
      </c>
      <c r="BM235" s="1" t="s">
        <v>74</v>
      </c>
      <c r="BN235" s="1">
        <v>3.4299833E7</v>
      </c>
      <c r="BO235" s="1" t="s">
        <v>74</v>
      </c>
      <c r="BP235" s="1" t="s">
        <v>74</v>
      </c>
      <c r="BQ235" s="1" t="s">
        <v>74</v>
      </c>
      <c r="BR235" s="1" t="s">
        <v>74</v>
      </c>
      <c r="BS235" s="1" t="s">
        <v>2577</v>
      </c>
      <c r="BT235" s="1" t="str">
        <f>HYPERLINK("https%3A%2F%2Fwww.webofscience.com%2Fwos%2Fwoscc%2Ffull-record%2FWOS:000676349200001","View Full Record in Web of Science")</f>
        <v>View Full Record in Web of Science</v>
      </c>
    </row>
    <row r="236" ht="12.75" customHeight="1">
      <c r="A236" s="1" t="s">
        <v>72</v>
      </c>
      <c r="B236" s="1" t="s">
        <v>2578</v>
      </c>
      <c r="C236" s="1" t="s">
        <v>74</v>
      </c>
      <c r="D236" s="1" t="s">
        <v>74</v>
      </c>
      <c r="E236" s="1" t="s">
        <v>74</v>
      </c>
      <c r="F236" s="1" t="s">
        <v>2579</v>
      </c>
      <c r="G236" s="1" t="s">
        <v>74</v>
      </c>
      <c r="H236" s="1" t="s">
        <v>74</v>
      </c>
      <c r="I236" s="1" t="s">
        <v>2580</v>
      </c>
      <c r="J236" s="1" t="s">
        <v>2581</v>
      </c>
      <c r="K236" s="1" t="s">
        <v>74</v>
      </c>
      <c r="L236" s="1" t="s">
        <v>74</v>
      </c>
      <c r="M236" s="1" t="s">
        <v>74</v>
      </c>
      <c r="N236" s="1" t="s">
        <v>74</v>
      </c>
      <c r="O236" s="1" t="s">
        <v>74</v>
      </c>
      <c r="P236" s="1" t="s">
        <v>74</v>
      </c>
      <c r="Q236" s="1" t="s">
        <v>74</v>
      </c>
      <c r="R236" s="1" t="s">
        <v>74</v>
      </c>
      <c r="S236" s="1" t="s">
        <v>74</v>
      </c>
      <c r="T236" s="1" t="s">
        <v>74</v>
      </c>
      <c r="U236" s="1" t="s">
        <v>74</v>
      </c>
      <c r="V236" s="1" t="s">
        <v>2582</v>
      </c>
      <c r="W236" s="1" t="s">
        <v>74</v>
      </c>
      <c r="X236" s="1" t="s">
        <v>74</v>
      </c>
      <c r="Y236" s="1" t="s">
        <v>74</v>
      </c>
      <c r="Z236" s="1" t="s">
        <v>74</v>
      </c>
      <c r="AA236" s="1" t="s">
        <v>2583</v>
      </c>
      <c r="AB236" s="1" t="s">
        <v>2584</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74</v>
      </c>
      <c r="AP236" s="1" t="s">
        <v>2585</v>
      </c>
      <c r="AQ236" s="1" t="s">
        <v>74</v>
      </c>
      <c r="AR236" s="1" t="s">
        <v>74</v>
      </c>
      <c r="AS236" s="1" t="s">
        <v>74</v>
      </c>
      <c r="AT236" s="1" t="s">
        <v>214</v>
      </c>
      <c r="AU236" s="1">
        <v>2024.0</v>
      </c>
      <c r="AV236" s="1">
        <v>16.0</v>
      </c>
      <c r="AW236" s="1">
        <v>4.0</v>
      </c>
      <c r="AX236" s="1" t="s">
        <v>74</v>
      </c>
      <c r="AY236" s="1" t="s">
        <v>74</v>
      </c>
      <c r="AZ236" s="1" t="s">
        <v>74</v>
      </c>
      <c r="BA236" s="1" t="s">
        <v>74</v>
      </c>
      <c r="BB236" s="1" t="s">
        <v>74</v>
      </c>
      <c r="BC236" s="1" t="s">
        <v>74</v>
      </c>
      <c r="BD236" s="1">
        <v>830.0</v>
      </c>
      <c r="BE236" s="1" t="s">
        <v>2586</v>
      </c>
      <c r="BF236" s="2" t="str">
        <f>HYPERLINK("http://dx.doi.org/10.3390/cancers16040830","http://dx.doi.org/10.3390/cancers16040830")</f>
        <v>http://dx.doi.org/10.3390/cancers16040830</v>
      </c>
      <c r="BG236" s="1" t="s">
        <v>74</v>
      </c>
      <c r="BH236" s="1" t="s">
        <v>74</v>
      </c>
      <c r="BI236" s="1" t="s">
        <v>74</v>
      </c>
      <c r="BJ236" s="1" t="s">
        <v>74</v>
      </c>
      <c r="BK236" s="1" t="s">
        <v>74</v>
      </c>
      <c r="BL236" s="1" t="s">
        <v>74</v>
      </c>
      <c r="BM236" s="1" t="s">
        <v>74</v>
      </c>
      <c r="BN236" s="1">
        <v>3.8398221E7</v>
      </c>
      <c r="BO236" s="1" t="s">
        <v>74</v>
      </c>
      <c r="BP236" s="1" t="s">
        <v>74</v>
      </c>
      <c r="BQ236" s="1" t="s">
        <v>74</v>
      </c>
      <c r="BR236" s="1" t="s">
        <v>74</v>
      </c>
      <c r="BS236" s="1" t="s">
        <v>2587</v>
      </c>
      <c r="BT236" s="1" t="str">
        <f>HYPERLINK("https%3A%2F%2Fwww.webofscience.com%2Fwos%2Fwoscc%2Ffull-record%2FWOS:001172540100001","View Full Record in Web of Science")</f>
        <v>View Full Record in Web of Science</v>
      </c>
    </row>
    <row r="237" ht="12.75" customHeight="1">
      <c r="A237" s="1" t="s">
        <v>72</v>
      </c>
      <c r="B237" s="1" t="s">
        <v>2588</v>
      </c>
      <c r="C237" s="1" t="s">
        <v>74</v>
      </c>
      <c r="D237" s="1" t="s">
        <v>74</v>
      </c>
      <c r="E237" s="1" t="s">
        <v>74</v>
      </c>
      <c r="F237" s="1" t="s">
        <v>2589</v>
      </c>
      <c r="G237" s="1" t="s">
        <v>74</v>
      </c>
      <c r="H237" s="1" t="s">
        <v>74</v>
      </c>
      <c r="I237" s="1" t="s">
        <v>2590</v>
      </c>
      <c r="J237" s="1" t="s">
        <v>2591</v>
      </c>
      <c r="K237" s="1" t="s">
        <v>74</v>
      </c>
      <c r="L237" s="1" t="s">
        <v>74</v>
      </c>
      <c r="M237" s="1" t="s">
        <v>74</v>
      </c>
      <c r="N237" s="1" t="s">
        <v>74</v>
      </c>
      <c r="O237" s="1" t="s">
        <v>2592</v>
      </c>
      <c r="P237" s="1" t="s">
        <v>2593</v>
      </c>
      <c r="Q237" s="1" t="s">
        <v>2594</v>
      </c>
      <c r="R237" s="1" t="s">
        <v>74</v>
      </c>
      <c r="S237" s="1" t="s">
        <v>74</v>
      </c>
      <c r="T237" s="1" t="s">
        <v>74</v>
      </c>
      <c r="U237" s="1" t="s">
        <v>74</v>
      </c>
      <c r="V237" s="1" t="s">
        <v>74</v>
      </c>
      <c r="W237" s="1" t="s">
        <v>74</v>
      </c>
      <c r="X237" s="1" t="s">
        <v>74</v>
      </c>
      <c r="Y237" s="1" t="s">
        <v>74</v>
      </c>
      <c r="Z237" s="1" t="s">
        <v>74</v>
      </c>
      <c r="AA237" s="1" t="s">
        <v>2595</v>
      </c>
      <c r="AB237" s="1" t="s">
        <v>74</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2596</v>
      </c>
      <c r="AP237" s="1" t="s">
        <v>2597</v>
      </c>
      <c r="AQ237" s="1" t="s">
        <v>74</v>
      </c>
      <c r="AR237" s="1" t="s">
        <v>74</v>
      </c>
      <c r="AS237" s="1" t="s">
        <v>74</v>
      </c>
      <c r="AT237" s="1" t="s">
        <v>745</v>
      </c>
      <c r="AU237" s="1">
        <v>2023.0</v>
      </c>
      <c r="AV237" s="1">
        <v>71.0</v>
      </c>
      <c r="AW237" s="1" t="s">
        <v>74</v>
      </c>
      <c r="AX237" s="1" t="s">
        <v>74</v>
      </c>
      <c r="AY237" s="1">
        <v>1.0</v>
      </c>
      <c r="AZ237" s="1" t="s">
        <v>74</v>
      </c>
      <c r="BA237" s="1" t="s">
        <v>2598</v>
      </c>
      <c r="BB237" s="1" t="s">
        <v>2599</v>
      </c>
      <c r="BC237" s="1" t="s">
        <v>2599</v>
      </c>
      <c r="BD237" s="1" t="s">
        <v>74</v>
      </c>
      <c r="BE237" s="1" t="s">
        <v>74</v>
      </c>
      <c r="BF237" s="1" t="s">
        <v>74</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2600</v>
      </c>
      <c r="BT237" s="1" t="str">
        <f>HYPERLINK("https%3A%2F%2Fwww.webofscience.com%2Fwos%2Fwoscc%2Ffull-record%2FWOS:001191372500448","View Full Record in Web of Science")</f>
        <v>View Full Record in Web of Science</v>
      </c>
    </row>
    <row r="238" ht="12.75" customHeight="1">
      <c r="A238" s="1" t="s">
        <v>72</v>
      </c>
      <c r="B238" s="1" t="s">
        <v>2601</v>
      </c>
      <c r="C238" s="1" t="s">
        <v>74</v>
      </c>
      <c r="D238" s="1" t="s">
        <v>74</v>
      </c>
      <c r="E238" s="1" t="s">
        <v>74</v>
      </c>
      <c r="F238" s="1" t="s">
        <v>2602</v>
      </c>
      <c r="G238" s="1" t="s">
        <v>74</v>
      </c>
      <c r="H238" s="1" t="s">
        <v>74</v>
      </c>
      <c r="I238" s="1" t="s">
        <v>2603</v>
      </c>
      <c r="J238" s="1" t="s">
        <v>1226</v>
      </c>
      <c r="K238" s="1" t="s">
        <v>74</v>
      </c>
      <c r="L238" s="1" t="s">
        <v>74</v>
      </c>
      <c r="M238" s="1" t="s">
        <v>74</v>
      </c>
      <c r="N238" s="1" t="s">
        <v>74</v>
      </c>
      <c r="O238" s="1" t="s">
        <v>74</v>
      </c>
      <c r="P238" s="1" t="s">
        <v>74</v>
      </c>
      <c r="Q238" s="1" t="s">
        <v>74</v>
      </c>
      <c r="R238" s="1" t="s">
        <v>74</v>
      </c>
      <c r="S238" s="1" t="s">
        <v>74</v>
      </c>
      <c r="T238" s="1" t="s">
        <v>74</v>
      </c>
      <c r="U238" s="1" t="s">
        <v>74</v>
      </c>
      <c r="V238" s="1" t="s">
        <v>2604</v>
      </c>
      <c r="W238" s="1" t="s">
        <v>74</v>
      </c>
      <c r="X238" s="1" t="s">
        <v>74</v>
      </c>
      <c r="Y238" s="1" t="s">
        <v>74</v>
      </c>
      <c r="Z238" s="1" t="s">
        <v>74</v>
      </c>
      <c r="AA238" s="1" t="s">
        <v>2605</v>
      </c>
      <c r="AB238" s="1" t="s">
        <v>2606</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1228</v>
      </c>
      <c r="AP238" s="1" t="s">
        <v>1229</v>
      </c>
      <c r="AQ238" s="1" t="s">
        <v>74</v>
      </c>
      <c r="AR238" s="1" t="s">
        <v>74</v>
      </c>
      <c r="AS238" s="1" t="s">
        <v>74</v>
      </c>
      <c r="AT238" s="1" t="s">
        <v>2607</v>
      </c>
      <c r="AU238" s="1">
        <v>2023.0</v>
      </c>
      <c r="AV238" s="1">
        <v>672.0</v>
      </c>
      <c r="AW238" s="1" t="s">
        <v>74</v>
      </c>
      <c r="AX238" s="1" t="s">
        <v>74</v>
      </c>
      <c r="AY238" s="1" t="s">
        <v>74</v>
      </c>
      <c r="AZ238" s="1" t="s">
        <v>74</v>
      </c>
      <c r="BA238" s="1" t="s">
        <v>74</v>
      </c>
      <c r="BB238" s="1" t="s">
        <v>74</v>
      </c>
      <c r="BC238" s="1" t="s">
        <v>74</v>
      </c>
      <c r="BD238" s="1" t="s">
        <v>2608</v>
      </c>
      <c r="BE238" s="1" t="s">
        <v>2609</v>
      </c>
      <c r="BF238" s="2" t="str">
        <f>HYPERLINK("http://dx.doi.org/10.1051/0004-6361/202244936","http://dx.doi.org/10.1051/0004-6361/202244936")</f>
        <v>http://dx.doi.org/10.1051/0004-6361/202244936</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2610</v>
      </c>
      <c r="BT238" s="1" t="str">
        <f>HYPERLINK("https%3A%2F%2Fwww.webofscience.com%2Fwos%2Fwoscc%2Ffull-record%2FWOS:000989420100011","View Full Record in Web of Science")</f>
        <v>View Full Record in Web of Science</v>
      </c>
    </row>
    <row r="239" ht="12.75" customHeight="1">
      <c r="A239" s="1" t="s">
        <v>72</v>
      </c>
      <c r="B239" s="1" t="s">
        <v>2611</v>
      </c>
      <c r="C239" s="1" t="s">
        <v>74</v>
      </c>
      <c r="D239" s="1" t="s">
        <v>74</v>
      </c>
      <c r="E239" s="1" t="s">
        <v>74</v>
      </c>
      <c r="F239" s="1" t="s">
        <v>2612</v>
      </c>
      <c r="G239" s="1" t="s">
        <v>74</v>
      </c>
      <c r="H239" s="1" t="s">
        <v>74</v>
      </c>
      <c r="I239" s="1" t="s">
        <v>2613</v>
      </c>
      <c r="J239" s="1" t="s">
        <v>2614</v>
      </c>
      <c r="K239" s="1" t="s">
        <v>74</v>
      </c>
      <c r="L239" s="1" t="s">
        <v>74</v>
      </c>
      <c r="M239" s="1" t="s">
        <v>74</v>
      </c>
      <c r="N239" s="1" t="s">
        <v>74</v>
      </c>
      <c r="O239" s="1" t="s">
        <v>74</v>
      </c>
      <c r="P239" s="1" t="s">
        <v>74</v>
      </c>
      <c r="Q239" s="1" t="s">
        <v>74</v>
      </c>
      <c r="R239" s="1" t="s">
        <v>74</v>
      </c>
      <c r="S239" s="1" t="s">
        <v>74</v>
      </c>
      <c r="T239" s="1" t="s">
        <v>74</v>
      </c>
      <c r="U239" s="1" t="s">
        <v>74</v>
      </c>
      <c r="V239" s="1" t="s">
        <v>2615</v>
      </c>
      <c r="W239" s="1" t="s">
        <v>74</v>
      </c>
      <c r="X239" s="1" t="s">
        <v>74</v>
      </c>
      <c r="Y239" s="1" t="s">
        <v>74</v>
      </c>
      <c r="Z239" s="1" t="s">
        <v>74</v>
      </c>
      <c r="AA239" s="1" t="s">
        <v>2616</v>
      </c>
      <c r="AB239" s="1" t="s">
        <v>2617</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2618</v>
      </c>
      <c r="AP239" s="1" t="s">
        <v>2619</v>
      </c>
      <c r="AQ239" s="1" t="s">
        <v>74</v>
      </c>
      <c r="AR239" s="1" t="s">
        <v>74</v>
      </c>
      <c r="AS239" s="1" t="s">
        <v>74</v>
      </c>
      <c r="AT239" s="1" t="s">
        <v>447</v>
      </c>
      <c r="AU239" s="1">
        <v>2022.0</v>
      </c>
      <c r="AV239" s="1">
        <v>272.0</v>
      </c>
      <c r="AW239" s="1" t="s">
        <v>74</v>
      </c>
      <c r="AX239" s="1" t="s">
        <v>74</v>
      </c>
      <c r="AY239" s="1" t="s">
        <v>74</v>
      </c>
      <c r="AZ239" s="1" t="s">
        <v>74</v>
      </c>
      <c r="BA239" s="1" t="s">
        <v>74</v>
      </c>
      <c r="BB239" s="1" t="s">
        <v>74</v>
      </c>
      <c r="BC239" s="1" t="s">
        <v>74</v>
      </c>
      <c r="BD239" s="1">
        <v>109638.0</v>
      </c>
      <c r="BE239" s="1" t="s">
        <v>2620</v>
      </c>
      <c r="BF239" s="2" t="str">
        <f>HYPERLINK("http://dx.doi.org/10.1016/j.biocon.2022.109638","http://dx.doi.org/10.1016/j.biocon.2022.109638")</f>
        <v>http://dx.doi.org/10.1016/j.biocon.2022.109638</v>
      </c>
      <c r="BG239" s="1" t="s">
        <v>74</v>
      </c>
      <c r="BH239" s="1" t="s">
        <v>74</v>
      </c>
      <c r="BI239" s="1" t="s">
        <v>74</v>
      </c>
      <c r="BJ239" s="1" t="s">
        <v>74</v>
      </c>
      <c r="BK239" s="1" t="s">
        <v>74</v>
      </c>
      <c r="BL239" s="1" t="s">
        <v>74</v>
      </c>
      <c r="BM239" s="1" t="s">
        <v>74</v>
      </c>
      <c r="BN239" s="1" t="s">
        <v>74</v>
      </c>
      <c r="BO239" s="1" t="s">
        <v>74</v>
      </c>
      <c r="BP239" s="1" t="s">
        <v>74</v>
      </c>
      <c r="BQ239" s="1" t="s">
        <v>74</v>
      </c>
      <c r="BR239" s="1" t="s">
        <v>74</v>
      </c>
      <c r="BS239" s="1" t="s">
        <v>2621</v>
      </c>
      <c r="BT239" s="1" t="str">
        <f>HYPERLINK("https%3A%2F%2Fwww.webofscience.com%2Fwos%2Fwoscc%2Ffull-record%2FWOS:000823090300002","View Full Record in Web of Science")</f>
        <v>View Full Record in Web of Science</v>
      </c>
    </row>
    <row r="240" ht="12.75" customHeight="1">
      <c r="A240" s="1" t="s">
        <v>72</v>
      </c>
      <c r="B240" s="1" t="s">
        <v>2622</v>
      </c>
      <c r="C240" s="1" t="s">
        <v>74</v>
      </c>
      <c r="D240" s="1" t="s">
        <v>74</v>
      </c>
      <c r="E240" s="1" t="s">
        <v>74</v>
      </c>
      <c r="F240" s="1" t="s">
        <v>2623</v>
      </c>
      <c r="G240" s="1" t="s">
        <v>74</v>
      </c>
      <c r="H240" s="1" t="s">
        <v>74</v>
      </c>
      <c r="I240" s="1" t="s">
        <v>2624</v>
      </c>
      <c r="J240" s="1" t="s">
        <v>1226</v>
      </c>
      <c r="K240" s="1" t="s">
        <v>74</v>
      </c>
      <c r="L240" s="1" t="s">
        <v>74</v>
      </c>
      <c r="M240" s="1" t="s">
        <v>74</v>
      </c>
      <c r="N240" s="1" t="s">
        <v>74</v>
      </c>
      <c r="O240" s="1" t="s">
        <v>74</v>
      </c>
      <c r="P240" s="1" t="s">
        <v>74</v>
      </c>
      <c r="Q240" s="1" t="s">
        <v>74</v>
      </c>
      <c r="R240" s="1" t="s">
        <v>74</v>
      </c>
      <c r="S240" s="1" t="s">
        <v>74</v>
      </c>
      <c r="T240" s="1" t="s">
        <v>74</v>
      </c>
      <c r="U240" s="1" t="s">
        <v>74</v>
      </c>
      <c r="V240" s="1" t="s">
        <v>2625</v>
      </c>
      <c r="W240" s="1" t="s">
        <v>74</v>
      </c>
      <c r="X240" s="1" t="s">
        <v>74</v>
      </c>
      <c r="Y240" s="1" t="s">
        <v>74</v>
      </c>
      <c r="Z240" s="1" t="s">
        <v>74</v>
      </c>
      <c r="AA240" s="1" t="s">
        <v>2626</v>
      </c>
      <c r="AB240" s="1" t="s">
        <v>2627</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1228</v>
      </c>
      <c r="AP240" s="1" t="s">
        <v>1229</v>
      </c>
      <c r="AQ240" s="1" t="s">
        <v>74</v>
      </c>
      <c r="AR240" s="1" t="s">
        <v>74</v>
      </c>
      <c r="AS240" s="1" t="s">
        <v>74</v>
      </c>
      <c r="AT240" s="1" t="s">
        <v>2628</v>
      </c>
      <c r="AU240" s="1">
        <v>2024.0</v>
      </c>
      <c r="AV240" s="1">
        <v>689.0</v>
      </c>
      <c r="AW240" s="1" t="s">
        <v>74</v>
      </c>
      <c r="AX240" s="1" t="s">
        <v>74</v>
      </c>
      <c r="AY240" s="1" t="s">
        <v>74</v>
      </c>
      <c r="AZ240" s="1" t="s">
        <v>74</v>
      </c>
      <c r="BA240" s="1" t="s">
        <v>74</v>
      </c>
      <c r="BB240" s="1" t="s">
        <v>74</v>
      </c>
      <c r="BC240" s="1" t="s">
        <v>74</v>
      </c>
      <c r="BD240" s="1" t="s">
        <v>2629</v>
      </c>
      <c r="BE240" s="1" t="s">
        <v>2630</v>
      </c>
      <c r="BF240" s="2" t="str">
        <f>HYPERLINK("http://dx.doi.org/10.1051/0004-6361/202450441","http://dx.doi.org/10.1051/0004-6361/202450441")</f>
        <v>http://dx.doi.org/10.1051/0004-6361/202450441</v>
      </c>
      <c r="BG240" s="1" t="s">
        <v>74</v>
      </c>
      <c r="BH240" s="1" t="s">
        <v>74</v>
      </c>
      <c r="BI240" s="1" t="s">
        <v>74</v>
      </c>
      <c r="BJ240" s="1" t="s">
        <v>74</v>
      </c>
      <c r="BK240" s="1" t="s">
        <v>74</v>
      </c>
      <c r="BL240" s="1" t="s">
        <v>74</v>
      </c>
      <c r="BM240" s="1" t="s">
        <v>74</v>
      </c>
      <c r="BN240" s="1" t="s">
        <v>74</v>
      </c>
      <c r="BO240" s="1" t="s">
        <v>74</v>
      </c>
      <c r="BP240" s="1" t="s">
        <v>74</v>
      </c>
      <c r="BQ240" s="1" t="s">
        <v>74</v>
      </c>
      <c r="BR240" s="1" t="s">
        <v>74</v>
      </c>
      <c r="BS240" s="1" t="s">
        <v>2631</v>
      </c>
      <c r="BT240" s="1" t="str">
        <f>HYPERLINK("https%3A%2F%2Fwww.webofscience.com%2Fwos%2Fwoscc%2Ffull-record%2FWOS:001400091800012","View Full Record in Web of Science")</f>
        <v>View Full Record in Web of Science</v>
      </c>
    </row>
    <row r="241" ht="12.75" customHeight="1">
      <c r="A241" s="1" t="s">
        <v>72</v>
      </c>
      <c r="B241" s="1" t="s">
        <v>2632</v>
      </c>
      <c r="C241" s="1" t="s">
        <v>74</v>
      </c>
      <c r="D241" s="1" t="s">
        <v>74</v>
      </c>
      <c r="E241" s="1" t="s">
        <v>74</v>
      </c>
      <c r="F241" s="1" t="s">
        <v>2633</v>
      </c>
      <c r="G241" s="1" t="s">
        <v>74</v>
      </c>
      <c r="H241" s="1" t="s">
        <v>74</v>
      </c>
      <c r="I241" s="1" t="s">
        <v>2634</v>
      </c>
      <c r="J241" s="1" t="s">
        <v>2635</v>
      </c>
      <c r="K241" s="1" t="s">
        <v>74</v>
      </c>
      <c r="L241" s="1" t="s">
        <v>74</v>
      </c>
      <c r="M241" s="1" t="s">
        <v>74</v>
      </c>
      <c r="N241" s="1" t="s">
        <v>74</v>
      </c>
      <c r="O241" s="1" t="s">
        <v>74</v>
      </c>
      <c r="P241" s="1" t="s">
        <v>74</v>
      </c>
      <c r="Q241" s="1" t="s">
        <v>74</v>
      </c>
      <c r="R241" s="1" t="s">
        <v>74</v>
      </c>
      <c r="S241" s="1" t="s">
        <v>74</v>
      </c>
      <c r="T241" s="1" t="s">
        <v>74</v>
      </c>
      <c r="U241" s="1" t="s">
        <v>74</v>
      </c>
      <c r="V241" s="1" t="s">
        <v>2636</v>
      </c>
      <c r="W241" s="1" t="s">
        <v>74</v>
      </c>
      <c r="X241" s="1" t="s">
        <v>74</v>
      </c>
      <c r="Y241" s="1" t="s">
        <v>74</v>
      </c>
      <c r="Z241" s="1" t="s">
        <v>74</v>
      </c>
      <c r="AA241" s="1" t="s">
        <v>2637</v>
      </c>
      <c r="AB241" s="1" t="s">
        <v>74</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2638</v>
      </c>
      <c r="AP241" s="1" t="s">
        <v>2639</v>
      </c>
      <c r="AQ241" s="1" t="s">
        <v>74</v>
      </c>
      <c r="AR241" s="1" t="s">
        <v>74</v>
      </c>
      <c r="AS241" s="1" t="s">
        <v>74</v>
      </c>
      <c r="AT241" s="1" t="s">
        <v>189</v>
      </c>
      <c r="AU241" s="1">
        <v>2023.0</v>
      </c>
      <c r="AV241" s="1">
        <v>146.0</v>
      </c>
      <c r="AW241" s="1">
        <v>12.0</v>
      </c>
      <c r="AX241" s="1" t="s">
        <v>74</v>
      </c>
      <c r="AY241" s="1" t="s">
        <v>74</v>
      </c>
      <c r="AZ241" s="1" t="s">
        <v>74</v>
      </c>
      <c r="BA241" s="1" t="s">
        <v>74</v>
      </c>
      <c r="BB241" s="1">
        <v>4870.0</v>
      </c>
      <c r="BC241" s="1">
        <v>4879.0</v>
      </c>
      <c r="BD241" s="1" t="s">
        <v>74</v>
      </c>
      <c r="BE241" s="1" t="s">
        <v>2640</v>
      </c>
      <c r="BF241" s="2" t="str">
        <f>HYPERLINK("http://dx.doi.org/10.1093/brain/awad253","http://dx.doi.org/10.1093/brain/awad253")</f>
        <v>http://dx.doi.org/10.1093/brain/awad253</v>
      </c>
      <c r="BG241" s="1" t="s">
        <v>74</v>
      </c>
      <c r="BH241" s="1" t="s">
        <v>2641</v>
      </c>
      <c r="BI241" s="1" t="s">
        <v>74</v>
      </c>
      <c r="BJ241" s="1" t="s">
        <v>74</v>
      </c>
      <c r="BK241" s="1" t="s">
        <v>74</v>
      </c>
      <c r="BL241" s="1" t="s">
        <v>74</v>
      </c>
      <c r="BM241" s="1" t="s">
        <v>74</v>
      </c>
      <c r="BN241" s="1">
        <v>3.7497623E7</v>
      </c>
      <c r="BO241" s="1" t="s">
        <v>74</v>
      </c>
      <c r="BP241" s="1" t="s">
        <v>74</v>
      </c>
      <c r="BQ241" s="1" t="s">
        <v>74</v>
      </c>
      <c r="BR241" s="1" t="s">
        <v>74</v>
      </c>
      <c r="BS241" s="1" t="s">
        <v>2642</v>
      </c>
      <c r="BT241" s="1" t="str">
        <f>HYPERLINK("https%3A%2F%2Fwww.webofscience.com%2Fwos%2Fwoscc%2Ffull-record%2FWOS:001082950500001","View Full Record in Web of Science")</f>
        <v>View Full Record in Web of Science</v>
      </c>
    </row>
    <row r="242" ht="12.75" customHeight="1">
      <c r="A242" s="1" t="s">
        <v>72</v>
      </c>
      <c r="B242" s="1" t="s">
        <v>2643</v>
      </c>
      <c r="C242" s="1" t="s">
        <v>74</v>
      </c>
      <c r="D242" s="1" t="s">
        <v>74</v>
      </c>
      <c r="E242" s="1" t="s">
        <v>74</v>
      </c>
      <c r="F242" s="1" t="s">
        <v>2644</v>
      </c>
      <c r="G242" s="1" t="s">
        <v>74</v>
      </c>
      <c r="H242" s="1" t="s">
        <v>74</v>
      </c>
      <c r="I242" s="1" t="s">
        <v>2645</v>
      </c>
      <c r="J242" s="1" t="s">
        <v>2646</v>
      </c>
      <c r="K242" s="1" t="s">
        <v>74</v>
      </c>
      <c r="L242" s="1" t="s">
        <v>74</v>
      </c>
      <c r="M242" s="1" t="s">
        <v>74</v>
      </c>
      <c r="N242" s="1" t="s">
        <v>74</v>
      </c>
      <c r="O242" s="1" t="s">
        <v>74</v>
      </c>
      <c r="P242" s="1" t="s">
        <v>74</v>
      </c>
      <c r="Q242" s="1" t="s">
        <v>74</v>
      </c>
      <c r="R242" s="1" t="s">
        <v>74</v>
      </c>
      <c r="S242" s="1" t="s">
        <v>74</v>
      </c>
      <c r="T242" s="1" t="s">
        <v>74</v>
      </c>
      <c r="U242" s="1" t="s">
        <v>74</v>
      </c>
      <c r="V242" s="1" t="s">
        <v>2647</v>
      </c>
      <c r="W242" s="1" t="s">
        <v>74</v>
      </c>
      <c r="X242" s="1" t="s">
        <v>74</v>
      </c>
      <c r="Y242" s="1" t="s">
        <v>74</v>
      </c>
      <c r="Z242" s="1" t="s">
        <v>74</v>
      </c>
      <c r="AA242" s="1" t="s">
        <v>2648</v>
      </c>
      <c r="AB242" s="1" t="s">
        <v>2649</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2650</v>
      </c>
      <c r="AP242" s="1" t="s">
        <v>2651</v>
      </c>
      <c r="AQ242" s="1" t="s">
        <v>74</v>
      </c>
      <c r="AR242" s="1" t="s">
        <v>74</v>
      </c>
      <c r="AS242" s="1" t="s">
        <v>74</v>
      </c>
      <c r="AT242" s="1" t="s">
        <v>74</v>
      </c>
      <c r="AU242" s="1">
        <v>2022.0</v>
      </c>
      <c r="AV242" s="1">
        <v>22.0</v>
      </c>
      <c r="AW242" s="1">
        <v>10.0</v>
      </c>
      <c r="AX242" s="1" t="s">
        <v>74</v>
      </c>
      <c r="AY242" s="1" t="s">
        <v>74</v>
      </c>
      <c r="AZ242" s="1" t="s">
        <v>74</v>
      </c>
      <c r="BA242" s="1" t="s">
        <v>74</v>
      </c>
      <c r="BB242" s="1">
        <v>908.0</v>
      </c>
      <c r="BC242" s="1">
        <v>918.0</v>
      </c>
      <c r="BD242" s="1" t="s">
        <v>74</v>
      </c>
      <c r="BE242" s="1" t="s">
        <v>2652</v>
      </c>
      <c r="BF242" s="2" t="str">
        <f>HYPERLINK("http://dx.doi.org/10.2174/1566524021666211207112106","http://dx.doi.org/10.2174/1566524021666211207112106")</f>
        <v>http://dx.doi.org/10.2174/1566524021666211207112106</v>
      </c>
      <c r="BG242" s="1" t="s">
        <v>74</v>
      </c>
      <c r="BH242" s="1" t="s">
        <v>74</v>
      </c>
      <c r="BI242" s="1" t="s">
        <v>74</v>
      </c>
      <c r="BJ242" s="1" t="s">
        <v>74</v>
      </c>
      <c r="BK242" s="1" t="s">
        <v>74</v>
      </c>
      <c r="BL242" s="1" t="s">
        <v>74</v>
      </c>
      <c r="BM242" s="1" t="s">
        <v>74</v>
      </c>
      <c r="BN242" s="1">
        <v>3.4875988E7</v>
      </c>
      <c r="BO242" s="1" t="s">
        <v>74</v>
      </c>
      <c r="BP242" s="1" t="s">
        <v>74</v>
      </c>
      <c r="BQ242" s="1" t="s">
        <v>74</v>
      </c>
      <c r="BR242" s="1" t="s">
        <v>74</v>
      </c>
      <c r="BS242" s="1" t="s">
        <v>2653</v>
      </c>
      <c r="BT242" s="1" t="str">
        <f>HYPERLINK("https%3A%2F%2Fwww.webofscience.com%2Fwos%2Fwoscc%2Ffull-record%2FWOS:000834105200007","View Full Record in Web of Science")</f>
        <v>View Full Record in Web of Science</v>
      </c>
    </row>
    <row r="243" ht="12.75" customHeight="1">
      <c r="A243" s="1" t="s">
        <v>72</v>
      </c>
      <c r="B243" s="1" t="s">
        <v>2654</v>
      </c>
      <c r="C243" s="1" t="s">
        <v>74</v>
      </c>
      <c r="D243" s="1" t="s">
        <v>74</v>
      </c>
      <c r="E243" s="1" t="s">
        <v>74</v>
      </c>
      <c r="F243" s="1" t="s">
        <v>2655</v>
      </c>
      <c r="G243" s="1" t="s">
        <v>74</v>
      </c>
      <c r="H243" s="1" t="s">
        <v>74</v>
      </c>
      <c r="I243" s="1" t="s">
        <v>2656</v>
      </c>
      <c r="J243" s="1" t="s">
        <v>2657</v>
      </c>
      <c r="K243" s="1" t="s">
        <v>74</v>
      </c>
      <c r="L243" s="1" t="s">
        <v>74</v>
      </c>
      <c r="M243" s="1" t="s">
        <v>74</v>
      </c>
      <c r="N243" s="1" t="s">
        <v>74</v>
      </c>
      <c r="O243" s="1" t="s">
        <v>74</v>
      </c>
      <c r="P243" s="1" t="s">
        <v>74</v>
      </c>
      <c r="Q243" s="1" t="s">
        <v>74</v>
      </c>
      <c r="R243" s="1" t="s">
        <v>74</v>
      </c>
      <c r="S243" s="1" t="s">
        <v>74</v>
      </c>
      <c r="T243" s="1" t="s">
        <v>74</v>
      </c>
      <c r="U243" s="1" t="s">
        <v>74</v>
      </c>
      <c r="V243" s="1" t="s">
        <v>2658</v>
      </c>
      <c r="W243" s="1" t="s">
        <v>74</v>
      </c>
      <c r="X243" s="1" t="s">
        <v>74</v>
      </c>
      <c r="Y243" s="1" t="s">
        <v>74</v>
      </c>
      <c r="Z243" s="1" t="s">
        <v>74</v>
      </c>
      <c r="AA243" s="1" t="s">
        <v>2659</v>
      </c>
      <c r="AB243" s="1" t="s">
        <v>2660</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2661</v>
      </c>
      <c r="AP243" s="1" t="s">
        <v>2662</v>
      </c>
      <c r="AQ243" s="1" t="s">
        <v>74</v>
      </c>
      <c r="AR243" s="1" t="s">
        <v>74</v>
      </c>
      <c r="AS243" s="1" t="s">
        <v>74</v>
      </c>
      <c r="AT243" s="1" t="s">
        <v>214</v>
      </c>
      <c r="AU243" s="1">
        <v>2022.0</v>
      </c>
      <c r="AV243" s="1">
        <v>23.0</v>
      </c>
      <c r="AW243" s="1">
        <v>2.0</v>
      </c>
      <c r="AX243" s="1" t="s">
        <v>74</v>
      </c>
      <c r="AY243" s="1" t="s">
        <v>74</v>
      </c>
      <c r="AZ243" s="1" t="s">
        <v>74</v>
      </c>
      <c r="BA243" s="1" t="s">
        <v>74</v>
      </c>
      <c r="BB243" s="1" t="s">
        <v>74</v>
      </c>
      <c r="BC243" s="1" t="s">
        <v>74</v>
      </c>
      <c r="BD243" s="1" t="s">
        <v>2663</v>
      </c>
      <c r="BE243" s="1" t="s">
        <v>2664</v>
      </c>
      <c r="BF243" s="2" t="str">
        <f>HYPERLINK("http://dx.doi.org/10.1111/obr.13375","http://dx.doi.org/10.1111/obr.13375")</f>
        <v>http://dx.doi.org/10.1111/obr.13375</v>
      </c>
      <c r="BG243" s="1" t="s">
        <v>74</v>
      </c>
      <c r="BH243" s="1" t="s">
        <v>2665</v>
      </c>
      <c r="BI243" s="1" t="s">
        <v>74</v>
      </c>
      <c r="BJ243" s="1" t="s">
        <v>74</v>
      </c>
      <c r="BK243" s="1" t="s">
        <v>74</v>
      </c>
      <c r="BL243" s="1" t="s">
        <v>74</v>
      </c>
      <c r="BM243" s="1" t="s">
        <v>74</v>
      </c>
      <c r="BN243" s="1">
        <v>3.4751482E7</v>
      </c>
      <c r="BO243" s="1" t="s">
        <v>74</v>
      </c>
      <c r="BP243" s="1" t="s">
        <v>74</v>
      </c>
      <c r="BQ243" s="1" t="s">
        <v>74</v>
      </c>
      <c r="BR243" s="1" t="s">
        <v>74</v>
      </c>
      <c r="BS243" s="1" t="s">
        <v>2666</v>
      </c>
      <c r="BT243" s="1" t="str">
        <f>HYPERLINK("https%3A%2F%2Fwww.webofscience.com%2Fwos%2Fwoscc%2Ffull-record%2FWOS:000715662100001","View Full Record in Web of Science")</f>
        <v>View Full Record in Web of Science</v>
      </c>
    </row>
    <row r="244" ht="12.75" customHeight="1">
      <c r="A244" s="1" t="s">
        <v>72</v>
      </c>
      <c r="B244" s="1" t="s">
        <v>2667</v>
      </c>
      <c r="C244" s="1" t="s">
        <v>74</v>
      </c>
      <c r="D244" s="1" t="s">
        <v>74</v>
      </c>
      <c r="E244" s="1" t="s">
        <v>74</v>
      </c>
      <c r="F244" s="1" t="s">
        <v>2668</v>
      </c>
      <c r="G244" s="1" t="s">
        <v>74</v>
      </c>
      <c r="H244" s="1" t="s">
        <v>74</v>
      </c>
      <c r="I244" s="1" t="s">
        <v>2669</v>
      </c>
      <c r="J244" s="1" t="s">
        <v>2670</v>
      </c>
      <c r="K244" s="1" t="s">
        <v>74</v>
      </c>
      <c r="L244" s="1" t="s">
        <v>74</v>
      </c>
      <c r="M244" s="1" t="s">
        <v>74</v>
      </c>
      <c r="N244" s="1" t="s">
        <v>74</v>
      </c>
      <c r="O244" s="1" t="s">
        <v>74</v>
      </c>
      <c r="P244" s="1" t="s">
        <v>74</v>
      </c>
      <c r="Q244" s="1" t="s">
        <v>74</v>
      </c>
      <c r="R244" s="1" t="s">
        <v>74</v>
      </c>
      <c r="S244" s="1" t="s">
        <v>74</v>
      </c>
      <c r="T244" s="1" t="s">
        <v>74</v>
      </c>
      <c r="U244" s="1" t="s">
        <v>74</v>
      </c>
      <c r="V244" s="1" t="s">
        <v>2671</v>
      </c>
      <c r="W244" s="1" t="s">
        <v>74</v>
      </c>
      <c r="X244" s="1" t="s">
        <v>74</v>
      </c>
      <c r="Y244" s="1" t="s">
        <v>74</v>
      </c>
      <c r="Z244" s="1" t="s">
        <v>74</v>
      </c>
      <c r="AA244" s="1" t="s">
        <v>2672</v>
      </c>
      <c r="AB244" s="1" t="s">
        <v>2673</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2674</v>
      </c>
      <c r="AP244" s="1" t="s">
        <v>2675</v>
      </c>
      <c r="AQ244" s="1" t="s">
        <v>74</v>
      </c>
      <c r="AR244" s="1" t="s">
        <v>74</v>
      </c>
      <c r="AS244" s="1" t="s">
        <v>74</v>
      </c>
      <c r="AT244" s="1" t="s">
        <v>106</v>
      </c>
      <c r="AU244" s="1">
        <v>2019.0</v>
      </c>
      <c r="AV244" s="1">
        <v>104.0</v>
      </c>
      <c r="AW244" s="1" t="s">
        <v>74</v>
      </c>
      <c r="AX244" s="1" t="s">
        <v>74</v>
      </c>
      <c r="AY244" s="1" t="s">
        <v>74</v>
      </c>
      <c r="AZ244" s="1" t="s">
        <v>74</v>
      </c>
      <c r="BA244" s="1" t="s">
        <v>74</v>
      </c>
      <c r="BB244" s="1" t="s">
        <v>74</v>
      </c>
      <c r="BC244" s="1" t="s">
        <v>74</v>
      </c>
      <c r="BD244" s="1">
        <v>109938.0</v>
      </c>
      <c r="BE244" s="1" t="s">
        <v>2676</v>
      </c>
      <c r="BF244" s="2" t="str">
        <f>HYPERLINK("http://dx.doi.org/10.1016/j.msec.2019.109938","http://dx.doi.org/10.1016/j.msec.2019.109938")</f>
        <v>http://dx.doi.org/10.1016/j.msec.2019.109938</v>
      </c>
      <c r="BG244" s="1" t="s">
        <v>74</v>
      </c>
      <c r="BH244" s="1" t="s">
        <v>74</v>
      </c>
      <c r="BI244" s="1" t="s">
        <v>74</v>
      </c>
      <c r="BJ244" s="1" t="s">
        <v>74</v>
      </c>
      <c r="BK244" s="1" t="s">
        <v>74</v>
      </c>
      <c r="BL244" s="1" t="s">
        <v>74</v>
      </c>
      <c r="BM244" s="1" t="s">
        <v>74</v>
      </c>
      <c r="BN244" s="1">
        <v>3.1499948E7</v>
      </c>
      <c r="BO244" s="1" t="s">
        <v>74</v>
      </c>
      <c r="BP244" s="1" t="s">
        <v>74</v>
      </c>
      <c r="BQ244" s="1" t="s">
        <v>74</v>
      </c>
      <c r="BR244" s="1" t="s">
        <v>74</v>
      </c>
      <c r="BS244" s="1" t="s">
        <v>2677</v>
      </c>
      <c r="BT244" s="1" t="str">
        <f>HYPERLINK("https%3A%2F%2Fwww.webofscience.com%2Fwos%2Fwoscc%2Ffull-record%2FWOS:000487569300100","View Full Record in Web of Science")</f>
        <v>View Full Record in Web of Science</v>
      </c>
    </row>
    <row r="245" ht="12.75" customHeight="1">
      <c r="A245" s="1" t="s">
        <v>72</v>
      </c>
      <c r="B245" s="1" t="s">
        <v>2678</v>
      </c>
      <c r="C245" s="1" t="s">
        <v>74</v>
      </c>
      <c r="D245" s="1" t="s">
        <v>74</v>
      </c>
      <c r="E245" s="1" t="s">
        <v>74</v>
      </c>
      <c r="F245" s="1" t="s">
        <v>2679</v>
      </c>
      <c r="G245" s="1" t="s">
        <v>74</v>
      </c>
      <c r="H245" s="1" t="s">
        <v>74</v>
      </c>
      <c r="I245" s="1" t="s">
        <v>2680</v>
      </c>
      <c r="J245" s="1" t="s">
        <v>2681</v>
      </c>
      <c r="K245" s="1" t="s">
        <v>74</v>
      </c>
      <c r="L245" s="1" t="s">
        <v>74</v>
      </c>
      <c r="M245" s="1" t="s">
        <v>74</v>
      </c>
      <c r="N245" s="1" t="s">
        <v>74</v>
      </c>
      <c r="O245" s="1" t="s">
        <v>74</v>
      </c>
      <c r="P245" s="1" t="s">
        <v>74</v>
      </c>
      <c r="Q245" s="1" t="s">
        <v>74</v>
      </c>
      <c r="R245" s="1" t="s">
        <v>74</v>
      </c>
      <c r="S245" s="1" t="s">
        <v>74</v>
      </c>
      <c r="T245" s="1" t="s">
        <v>74</v>
      </c>
      <c r="U245" s="1" t="s">
        <v>74</v>
      </c>
      <c r="V245" s="1" t="s">
        <v>2682</v>
      </c>
      <c r="W245" s="1" t="s">
        <v>74</v>
      </c>
      <c r="X245" s="1" t="s">
        <v>74</v>
      </c>
      <c r="Y245" s="1" t="s">
        <v>74</v>
      </c>
      <c r="Z245" s="1" t="s">
        <v>74</v>
      </c>
      <c r="AA245" s="1" t="s">
        <v>1717</v>
      </c>
      <c r="AB245" s="1" t="s">
        <v>2683</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2684</v>
      </c>
      <c r="AP245" s="1" t="s">
        <v>2685</v>
      </c>
      <c r="AQ245" s="1" t="s">
        <v>74</v>
      </c>
      <c r="AR245" s="1" t="s">
        <v>74</v>
      </c>
      <c r="AS245" s="1" t="s">
        <v>74</v>
      </c>
      <c r="AT245" s="1" t="s">
        <v>202</v>
      </c>
      <c r="AU245" s="1">
        <v>2018.0</v>
      </c>
      <c r="AV245" s="1">
        <v>33.0</v>
      </c>
      <c r="AW245" s="1">
        <v>6.0</v>
      </c>
      <c r="AX245" s="1" t="s">
        <v>74</v>
      </c>
      <c r="AY245" s="1" t="s">
        <v>74</v>
      </c>
      <c r="AZ245" s="1" t="s">
        <v>448</v>
      </c>
      <c r="BA245" s="1" t="s">
        <v>74</v>
      </c>
      <c r="BB245" s="1">
        <v>814.0</v>
      </c>
      <c r="BC245" s="1">
        <v>823.0</v>
      </c>
      <c r="BD245" s="1" t="s">
        <v>74</v>
      </c>
      <c r="BE245" s="1" t="s">
        <v>2686</v>
      </c>
      <c r="BF245" s="2" t="str">
        <f>HYPERLINK("http://dx.doi.org/10.1002/gps.4712","http://dx.doi.org/10.1002/gps.4712")</f>
        <v>http://dx.doi.org/10.1002/gps.4712</v>
      </c>
      <c r="BG245" s="1" t="s">
        <v>74</v>
      </c>
      <c r="BH245" s="1" t="s">
        <v>74</v>
      </c>
      <c r="BI245" s="1" t="s">
        <v>74</v>
      </c>
      <c r="BJ245" s="1" t="s">
        <v>74</v>
      </c>
      <c r="BK245" s="1" t="s">
        <v>74</v>
      </c>
      <c r="BL245" s="1" t="s">
        <v>74</v>
      </c>
      <c r="BM245" s="1" t="s">
        <v>74</v>
      </c>
      <c r="BN245" s="1">
        <v>2.8370288E7</v>
      </c>
      <c r="BO245" s="1" t="s">
        <v>74</v>
      </c>
      <c r="BP245" s="1" t="s">
        <v>74</v>
      </c>
      <c r="BQ245" s="1" t="s">
        <v>74</v>
      </c>
      <c r="BR245" s="1" t="s">
        <v>74</v>
      </c>
      <c r="BS245" s="1" t="s">
        <v>2687</v>
      </c>
      <c r="BT245" s="1" t="str">
        <f>HYPERLINK("https%3A%2F%2Fwww.webofscience.com%2Fwos%2Fwoscc%2Ffull-record%2FWOS:000431651400003","View Full Record in Web of Science")</f>
        <v>View Full Record in Web of Science</v>
      </c>
    </row>
    <row r="246" ht="12.75" customHeight="1">
      <c r="A246" s="1" t="s">
        <v>72</v>
      </c>
      <c r="B246" s="1" t="s">
        <v>2688</v>
      </c>
      <c r="C246" s="1" t="s">
        <v>74</v>
      </c>
      <c r="D246" s="1" t="s">
        <v>74</v>
      </c>
      <c r="E246" s="1" t="s">
        <v>74</v>
      </c>
      <c r="F246" s="1" t="s">
        <v>2689</v>
      </c>
      <c r="G246" s="1" t="s">
        <v>74</v>
      </c>
      <c r="H246" s="1" t="s">
        <v>74</v>
      </c>
      <c r="I246" s="1" t="s">
        <v>2690</v>
      </c>
      <c r="J246" s="1" t="s">
        <v>821</v>
      </c>
      <c r="K246" s="1" t="s">
        <v>74</v>
      </c>
      <c r="L246" s="1" t="s">
        <v>74</v>
      </c>
      <c r="M246" s="1" t="s">
        <v>74</v>
      </c>
      <c r="N246" s="1" t="s">
        <v>74</v>
      </c>
      <c r="O246" s="1" t="s">
        <v>74</v>
      </c>
      <c r="P246" s="1" t="s">
        <v>74</v>
      </c>
      <c r="Q246" s="1" t="s">
        <v>74</v>
      </c>
      <c r="R246" s="1" t="s">
        <v>74</v>
      </c>
      <c r="S246" s="1" t="s">
        <v>74</v>
      </c>
      <c r="T246" s="1" t="s">
        <v>74</v>
      </c>
      <c r="U246" s="1" t="s">
        <v>74</v>
      </c>
      <c r="V246" s="1" t="s">
        <v>2691</v>
      </c>
      <c r="W246" s="1" t="s">
        <v>74</v>
      </c>
      <c r="X246" s="1" t="s">
        <v>74</v>
      </c>
      <c r="Y246" s="1" t="s">
        <v>74</v>
      </c>
      <c r="Z246" s="1" t="s">
        <v>74</v>
      </c>
      <c r="AA246" s="1" t="s">
        <v>2692</v>
      </c>
      <c r="AB246" s="1" t="s">
        <v>2693</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74</v>
      </c>
      <c r="AP246" s="1" t="s">
        <v>825</v>
      </c>
      <c r="AQ246" s="1" t="s">
        <v>74</v>
      </c>
      <c r="AR246" s="1" t="s">
        <v>74</v>
      </c>
      <c r="AS246" s="1" t="s">
        <v>74</v>
      </c>
      <c r="AT246" s="1" t="s">
        <v>2694</v>
      </c>
      <c r="AU246" s="1">
        <v>2023.0</v>
      </c>
      <c r="AV246" s="1">
        <v>11.0</v>
      </c>
      <c r="AW246" s="1" t="s">
        <v>74</v>
      </c>
      <c r="AX246" s="1" t="s">
        <v>74</v>
      </c>
      <c r="AY246" s="1" t="s">
        <v>74</v>
      </c>
      <c r="AZ246" s="1" t="s">
        <v>74</v>
      </c>
      <c r="BA246" s="1" t="s">
        <v>74</v>
      </c>
      <c r="BB246" s="1" t="s">
        <v>74</v>
      </c>
      <c r="BC246" s="1" t="s">
        <v>74</v>
      </c>
      <c r="BD246" s="1">
        <v>1236402.0</v>
      </c>
      <c r="BE246" s="1" t="s">
        <v>2695</v>
      </c>
      <c r="BF246" s="2" t="str">
        <f>HYPERLINK("http://dx.doi.org/10.3389/fpubh.2023.1236402","http://dx.doi.org/10.3389/fpubh.2023.1236402")</f>
        <v>http://dx.doi.org/10.3389/fpubh.2023.1236402</v>
      </c>
      <c r="BG246" s="1" t="s">
        <v>74</v>
      </c>
      <c r="BH246" s="1" t="s">
        <v>74</v>
      </c>
      <c r="BI246" s="1" t="s">
        <v>74</v>
      </c>
      <c r="BJ246" s="1" t="s">
        <v>74</v>
      </c>
      <c r="BK246" s="1" t="s">
        <v>74</v>
      </c>
      <c r="BL246" s="1" t="s">
        <v>74</v>
      </c>
      <c r="BM246" s="1" t="s">
        <v>74</v>
      </c>
      <c r="BN246" s="1">
        <v>3.7886049E7</v>
      </c>
      <c r="BO246" s="1" t="s">
        <v>74</v>
      </c>
      <c r="BP246" s="1" t="s">
        <v>74</v>
      </c>
      <c r="BQ246" s="1" t="s">
        <v>74</v>
      </c>
      <c r="BR246" s="1" t="s">
        <v>74</v>
      </c>
      <c r="BS246" s="1" t="s">
        <v>2696</v>
      </c>
      <c r="BT246" s="1" t="str">
        <f>HYPERLINK("https%3A%2F%2Fwww.webofscience.com%2Fwos%2Fwoscc%2Ffull-record%2FWOS:001090999400001","View Full Record in Web of Science")</f>
        <v>View Full Record in Web of Science</v>
      </c>
    </row>
    <row r="247" ht="12.75" customHeight="1">
      <c r="A247" s="1" t="s">
        <v>72</v>
      </c>
      <c r="B247" s="1" t="s">
        <v>2697</v>
      </c>
      <c r="C247" s="1" t="s">
        <v>74</v>
      </c>
      <c r="D247" s="1" t="s">
        <v>74</v>
      </c>
      <c r="E247" s="1" t="s">
        <v>74</v>
      </c>
      <c r="F247" s="1" t="s">
        <v>2698</v>
      </c>
      <c r="G247" s="1" t="s">
        <v>74</v>
      </c>
      <c r="H247" s="1" t="s">
        <v>74</v>
      </c>
      <c r="I247" s="1" t="s">
        <v>2699</v>
      </c>
      <c r="J247" s="1" t="s">
        <v>2700</v>
      </c>
      <c r="K247" s="1" t="s">
        <v>74</v>
      </c>
      <c r="L247" s="1" t="s">
        <v>74</v>
      </c>
      <c r="M247" s="1" t="s">
        <v>74</v>
      </c>
      <c r="N247" s="1" t="s">
        <v>74</v>
      </c>
      <c r="O247" s="1" t="s">
        <v>74</v>
      </c>
      <c r="P247" s="1" t="s">
        <v>74</v>
      </c>
      <c r="Q247" s="1" t="s">
        <v>74</v>
      </c>
      <c r="R247" s="1" t="s">
        <v>74</v>
      </c>
      <c r="S247" s="1" t="s">
        <v>74</v>
      </c>
      <c r="T247" s="1" t="s">
        <v>74</v>
      </c>
      <c r="U247" s="1" t="s">
        <v>74</v>
      </c>
      <c r="V247" s="1" t="s">
        <v>2701</v>
      </c>
      <c r="W247" s="1" t="s">
        <v>74</v>
      </c>
      <c r="X247" s="1" t="s">
        <v>74</v>
      </c>
      <c r="Y247" s="1" t="s">
        <v>74</v>
      </c>
      <c r="Z247" s="1" t="s">
        <v>74</v>
      </c>
      <c r="AA247" s="1" t="s">
        <v>2702</v>
      </c>
      <c r="AB247" s="1" t="s">
        <v>2703</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2704</v>
      </c>
      <c r="AP247" s="1" t="s">
        <v>74</v>
      </c>
      <c r="AQ247" s="1" t="s">
        <v>74</v>
      </c>
      <c r="AR247" s="1" t="s">
        <v>74</v>
      </c>
      <c r="AS247" s="1" t="s">
        <v>74</v>
      </c>
      <c r="AT247" s="1" t="s">
        <v>2705</v>
      </c>
      <c r="AU247" s="1">
        <v>2020.0</v>
      </c>
      <c r="AV247" s="1">
        <v>5.0</v>
      </c>
      <c r="AW247" s="1">
        <v>35.0</v>
      </c>
      <c r="AX247" s="1" t="s">
        <v>74</v>
      </c>
      <c r="AY247" s="1" t="s">
        <v>74</v>
      </c>
      <c r="AZ247" s="1" t="s">
        <v>74</v>
      </c>
      <c r="BA247" s="1" t="s">
        <v>74</v>
      </c>
      <c r="BB247" s="1">
        <v>22238.0</v>
      </c>
      <c r="BC247" s="1">
        <v>22247.0</v>
      </c>
      <c r="BD247" s="1" t="s">
        <v>74</v>
      </c>
      <c r="BE247" s="1" t="s">
        <v>2706</v>
      </c>
      <c r="BF247" s="2" t="str">
        <f>HYPERLINK("http://dx.doi.org/10.1021/acsomega.0c02420","http://dx.doi.org/10.1021/acsomega.0c02420")</f>
        <v>http://dx.doi.org/10.1021/acsomega.0c02420</v>
      </c>
      <c r="BG247" s="1" t="s">
        <v>74</v>
      </c>
      <c r="BH247" s="1" t="s">
        <v>74</v>
      </c>
      <c r="BI247" s="1" t="s">
        <v>74</v>
      </c>
      <c r="BJ247" s="1" t="s">
        <v>74</v>
      </c>
      <c r="BK247" s="1" t="s">
        <v>74</v>
      </c>
      <c r="BL247" s="1" t="s">
        <v>74</v>
      </c>
      <c r="BM247" s="1" t="s">
        <v>74</v>
      </c>
      <c r="BN247" s="1">
        <v>3.2923781E7</v>
      </c>
      <c r="BO247" s="1" t="s">
        <v>74</v>
      </c>
      <c r="BP247" s="1" t="s">
        <v>74</v>
      </c>
      <c r="BQ247" s="1" t="s">
        <v>74</v>
      </c>
      <c r="BR247" s="1" t="s">
        <v>74</v>
      </c>
      <c r="BS247" s="1" t="s">
        <v>2707</v>
      </c>
      <c r="BT247" s="1" t="str">
        <f>HYPERLINK("https%3A%2F%2Fwww.webofscience.com%2Fwos%2Fwoscc%2Ffull-record%2FWOS:000570009400026","View Full Record in Web of Science")</f>
        <v>View Full Record in Web of Science</v>
      </c>
    </row>
    <row r="248" ht="12.75" customHeight="1">
      <c r="A248" s="1" t="s">
        <v>72</v>
      </c>
      <c r="B248" s="1" t="s">
        <v>2708</v>
      </c>
      <c r="C248" s="1" t="s">
        <v>74</v>
      </c>
      <c r="D248" s="1" t="s">
        <v>74</v>
      </c>
      <c r="E248" s="1" t="s">
        <v>74</v>
      </c>
      <c r="F248" s="1" t="s">
        <v>2709</v>
      </c>
      <c r="G248" s="1" t="s">
        <v>74</v>
      </c>
      <c r="H248" s="1" t="s">
        <v>74</v>
      </c>
      <c r="I248" s="1" t="s">
        <v>2710</v>
      </c>
      <c r="J248" s="1" t="s">
        <v>2379</v>
      </c>
      <c r="K248" s="1" t="s">
        <v>74</v>
      </c>
      <c r="L248" s="1" t="s">
        <v>74</v>
      </c>
      <c r="M248" s="1" t="s">
        <v>74</v>
      </c>
      <c r="N248" s="1" t="s">
        <v>74</v>
      </c>
      <c r="O248" s="1" t="s">
        <v>74</v>
      </c>
      <c r="P248" s="1" t="s">
        <v>74</v>
      </c>
      <c r="Q248" s="1" t="s">
        <v>74</v>
      </c>
      <c r="R248" s="1" t="s">
        <v>74</v>
      </c>
      <c r="S248" s="1" t="s">
        <v>74</v>
      </c>
      <c r="T248" s="1" t="s">
        <v>74</v>
      </c>
      <c r="U248" s="1" t="s">
        <v>74</v>
      </c>
      <c r="V248" s="1" t="s">
        <v>2711</v>
      </c>
      <c r="W248" s="1" t="s">
        <v>74</v>
      </c>
      <c r="X248" s="1" t="s">
        <v>74</v>
      </c>
      <c r="Y248" s="1" t="s">
        <v>74</v>
      </c>
      <c r="Z248" s="1" t="s">
        <v>74</v>
      </c>
      <c r="AA248" s="1" t="s">
        <v>2712</v>
      </c>
      <c r="AB248" s="1" t="s">
        <v>2713</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2383</v>
      </c>
      <c r="AP248" s="1" t="s">
        <v>2384</v>
      </c>
      <c r="AQ248" s="1" t="s">
        <v>74</v>
      </c>
      <c r="AR248" s="1" t="s">
        <v>74</v>
      </c>
      <c r="AS248" s="1" t="s">
        <v>74</v>
      </c>
      <c r="AT248" s="1" t="s">
        <v>2714</v>
      </c>
      <c r="AU248" s="1">
        <v>2025.0</v>
      </c>
      <c r="AV248" s="1" t="s">
        <v>74</v>
      </c>
      <c r="AW248" s="1" t="s">
        <v>74</v>
      </c>
      <c r="AX248" s="1" t="s">
        <v>74</v>
      </c>
      <c r="AY248" s="1" t="s">
        <v>74</v>
      </c>
      <c r="AZ248" s="1" t="s">
        <v>74</v>
      </c>
      <c r="BA248" s="1" t="s">
        <v>74</v>
      </c>
      <c r="BB248" s="1" t="s">
        <v>74</v>
      </c>
      <c r="BC248" s="1" t="s">
        <v>74</v>
      </c>
      <c r="BD248" s="1" t="s">
        <v>74</v>
      </c>
      <c r="BE248" s="1" t="s">
        <v>2715</v>
      </c>
      <c r="BF248" s="2" t="str">
        <f>HYPERLINK("http://dx.doi.org/10.1039/d4dt03337j","http://dx.doi.org/10.1039/d4dt03337j")</f>
        <v>http://dx.doi.org/10.1039/d4dt03337j</v>
      </c>
      <c r="BG248" s="1" t="s">
        <v>74</v>
      </c>
      <c r="BH248" s="1" t="s">
        <v>289</v>
      </c>
      <c r="BI248" s="1" t="s">
        <v>74</v>
      </c>
      <c r="BJ248" s="1" t="s">
        <v>74</v>
      </c>
      <c r="BK248" s="1" t="s">
        <v>74</v>
      </c>
      <c r="BL248" s="1" t="s">
        <v>74</v>
      </c>
      <c r="BM248" s="1" t="s">
        <v>74</v>
      </c>
      <c r="BN248" s="1">
        <v>4.0202459E7</v>
      </c>
      <c r="BO248" s="1" t="s">
        <v>74</v>
      </c>
      <c r="BP248" s="1" t="s">
        <v>74</v>
      </c>
      <c r="BQ248" s="1" t="s">
        <v>74</v>
      </c>
      <c r="BR248" s="1" t="s">
        <v>74</v>
      </c>
      <c r="BS248" s="1" t="s">
        <v>2716</v>
      </c>
      <c r="BT248" s="1" t="str">
        <f>HYPERLINK("https%3A%2F%2Fwww.webofscience.com%2Fwos%2Fwoscc%2Ffull-record%2FWOS:001462118900001","View Full Record in Web of Science")</f>
        <v>View Full Record in Web of Science</v>
      </c>
    </row>
    <row r="249" ht="12.75" customHeight="1">
      <c r="A249" s="1" t="s">
        <v>72</v>
      </c>
      <c r="B249" s="1" t="s">
        <v>2717</v>
      </c>
      <c r="C249" s="1" t="s">
        <v>74</v>
      </c>
      <c r="D249" s="1" t="s">
        <v>74</v>
      </c>
      <c r="E249" s="1" t="s">
        <v>74</v>
      </c>
      <c r="F249" s="1" t="s">
        <v>2718</v>
      </c>
      <c r="G249" s="1" t="s">
        <v>74</v>
      </c>
      <c r="H249" s="1" t="s">
        <v>74</v>
      </c>
      <c r="I249" s="1" t="s">
        <v>2719</v>
      </c>
      <c r="J249" s="1" t="s">
        <v>2720</v>
      </c>
      <c r="K249" s="1" t="s">
        <v>74</v>
      </c>
      <c r="L249" s="1" t="s">
        <v>74</v>
      </c>
      <c r="M249" s="1" t="s">
        <v>74</v>
      </c>
      <c r="N249" s="1" t="s">
        <v>74</v>
      </c>
      <c r="O249" s="1" t="s">
        <v>74</v>
      </c>
      <c r="P249" s="1" t="s">
        <v>74</v>
      </c>
      <c r="Q249" s="1" t="s">
        <v>74</v>
      </c>
      <c r="R249" s="1" t="s">
        <v>74</v>
      </c>
      <c r="S249" s="1" t="s">
        <v>74</v>
      </c>
      <c r="T249" s="1" t="s">
        <v>74</v>
      </c>
      <c r="U249" s="1" t="s">
        <v>74</v>
      </c>
      <c r="V249" s="1" t="s">
        <v>2721</v>
      </c>
      <c r="W249" s="1" t="s">
        <v>74</v>
      </c>
      <c r="X249" s="1" t="s">
        <v>74</v>
      </c>
      <c r="Y249" s="1" t="s">
        <v>74</v>
      </c>
      <c r="Z249" s="1" t="s">
        <v>74</v>
      </c>
      <c r="AA249" s="1" t="s">
        <v>2722</v>
      </c>
      <c r="AB249" s="1" t="s">
        <v>2723</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2724</v>
      </c>
      <c r="AP249" s="1" t="s">
        <v>74</v>
      </c>
      <c r="AQ249" s="1" t="s">
        <v>74</v>
      </c>
      <c r="AR249" s="1" t="s">
        <v>74</v>
      </c>
      <c r="AS249" s="1" t="s">
        <v>74</v>
      </c>
      <c r="AT249" s="1" t="s">
        <v>130</v>
      </c>
      <c r="AU249" s="1">
        <v>2025.0</v>
      </c>
      <c r="AV249" s="1">
        <v>58.0</v>
      </c>
      <c r="AW249" s="1" t="s">
        <v>74</v>
      </c>
      <c r="AX249" s="1" t="s">
        <v>74</v>
      </c>
      <c r="AY249" s="1" t="s">
        <v>74</v>
      </c>
      <c r="AZ249" s="1" t="s">
        <v>74</v>
      </c>
      <c r="BA249" s="1" t="s">
        <v>74</v>
      </c>
      <c r="BB249" s="1" t="s">
        <v>74</v>
      </c>
      <c r="BC249" s="1" t="s">
        <v>74</v>
      </c>
      <c r="BD249" s="1">
        <v>105777.0</v>
      </c>
      <c r="BE249" s="1" t="s">
        <v>2725</v>
      </c>
      <c r="BF249" s="2" t="str">
        <f>HYPERLINK("http://dx.doi.org/10.1016/j.surfin.2025.105777","http://dx.doi.org/10.1016/j.surfin.2025.105777")</f>
        <v>http://dx.doi.org/10.1016/j.surfin.2025.105777</v>
      </c>
      <c r="BG249" s="1" t="s">
        <v>74</v>
      </c>
      <c r="BH249" s="1" t="s">
        <v>2726</v>
      </c>
      <c r="BI249" s="1" t="s">
        <v>74</v>
      </c>
      <c r="BJ249" s="1" t="s">
        <v>74</v>
      </c>
      <c r="BK249" s="1" t="s">
        <v>74</v>
      </c>
      <c r="BL249" s="1" t="s">
        <v>74</v>
      </c>
      <c r="BM249" s="1" t="s">
        <v>74</v>
      </c>
      <c r="BN249" s="1" t="s">
        <v>74</v>
      </c>
      <c r="BO249" s="1" t="s">
        <v>74</v>
      </c>
      <c r="BP249" s="1" t="s">
        <v>74</v>
      </c>
      <c r="BQ249" s="1" t="s">
        <v>74</v>
      </c>
      <c r="BR249" s="1" t="s">
        <v>74</v>
      </c>
      <c r="BS249" s="1" t="s">
        <v>2727</v>
      </c>
      <c r="BT249" s="1" t="str">
        <f>HYPERLINK("https%3A%2F%2Fwww.webofscience.com%2Fwos%2Fwoscc%2Ffull-record%2FWOS:001406385600001","View Full Record in Web of Science")</f>
        <v>View Full Record in Web of Science</v>
      </c>
    </row>
    <row r="250" ht="12.75" customHeight="1">
      <c r="A250" s="1" t="s">
        <v>72</v>
      </c>
      <c r="B250" s="1" t="s">
        <v>2728</v>
      </c>
      <c r="C250" s="1" t="s">
        <v>74</v>
      </c>
      <c r="D250" s="1" t="s">
        <v>74</v>
      </c>
      <c r="E250" s="1" t="s">
        <v>74</v>
      </c>
      <c r="F250" s="1" t="s">
        <v>2729</v>
      </c>
      <c r="G250" s="1" t="s">
        <v>74</v>
      </c>
      <c r="H250" s="1" t="s">
        <v>74</v>
      </c>
      <c r="I250" s="1" t="s">
        <v>2730</v>
      </c>
      <c r="J250" s="1" t="s">
        <v>2731</v>
      </c>
      <c r="K250" s="1" t="s">
        <v>74</v>
      </c>
      <c r="L250" s="1" t="s">
        <v>74</v>
      </c>
      <c r="M250" s="1" t="s">
        <v>74</v>
      </c>
      <c r="N250" s="1" t="s">
        <v>74</v>
      </c>
      <c r="O250" s="1" t="s">
        <v>74</v>
      </c>
      <c r="P250" s="1" t="s">
        <v>74</v>
      </c>
      <c r="Q250" s="1" t="s">
        <v>74</v>
      </c>
      <c r="R250" s="1" t="s">
        <v>74</v>
      </c>
      <c r="S250" s="1" t="s">
        <v>74</v>
      </c>
      <c r="T250" s="1" t="s">
        <v>74</v>
      </c>
      <c r="U250" s="1" t="s">
        <v>74</v>
      </c>
      <c r="V250" s="1" t="s">
        <v>2732</v>
      </c>
      <c r="W250" s="1" t="s">
        <v>74</v>
      </c>
      <c r="X250" s="1" t="s">
        <v>74</v>
      </c>
      <c r="Y250" s="1" t="s">
        <v>74</v>
      </c>
      <c r="Z250" s="1" t="s">
        <v>74</v>
      </c>
      <c r="AA250" s="1" t="s">
        <v>2733</v>
      </c>
      <c r="AB250" s="1" t="s">
        <v>2734</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74</v>
      </c>
      <c r="AP250" s="1" t="s">
        <v>2735</v>
      </c>
      <c r="AQ250" s="1" t="s">
        <v>74</v>
      </c>
      <c r="AR250" s="1" t="s">
        <v>74</v>
      </c>
      <c r="AS250" s="1" t="s">
        <v>74</v>
      </c>
      <c r="AT250" s="1" t="s">
        <v>2736</v>
      </c>
      <c r="AU250" s="1">
        <v>2024.0</v>
      </c>
      <c r="AV250" s="1">
        <v>10.0</v>
      </c>
      <c r="AW250" s="1">
        <v>7.0</v>
      </c>
      <c r="AX250" s="1" t="s">
        <v>74</v>
      </c>
      <c r="AY250" s="1" t="s">
        <v>74</v>
      </c>
      <c r="AZ250" s="1" t="s">
        <v>74</v>
      </c>
      <c r="BA250" s="1" t="s">
        <v>74</v>
      </c>
      <c r="BB250" s="1" t="s">
        <v>74</v>
      </c>
      <c r="BC250" s="1" t="s">
        <v>74</v>
      </c>
      <c r="BD250" s="1" t="s">
        <v>2737</v>
      </c>
      <c r="BE250" s="1" t="s">
        <v>2738</v>
      </c>
      <c r="BF250" s="2" t="str">
        <f>HYPERLINK("http://dx.doi.org/10.1016/j.heliyon.2024.e24419","http://dx.doi.org/10.1016/j.heliyon.2024.e24419")</f>
        <v>http://dx.doi.org/10.1016/j.heliyon.2024.e24419</v>
      </c>
      <c r="BG250" s="1" t="s">
        <v>74</v>
      </c>
      <c r="BH250" s="1" t="s">
        <v>371</v>
      </c>
      <c r="BI250" s="1" t="s">
        <v>74</v>
      </c>
      <c r="BJ250" s="1" t="s">
        <v>74</v>
      </c>
      <c r="BK250" s="1" t="s">
        <v>74</v>
      </c>
      <c r="BL250" s="1" t="s">
        <v>74</v>
      </c>
      <c r="BM250" s="1" t="s">
        <v>74</v>
      </c>
      <c r="BN250" s="1">
        <v>3.8601544E7</v>
      </c>
      <c r="BO250" s="1" t="s">
        <v>74</v>
      </c>
      <c r="BP250" s="1" t="s">
        <v>74</v>
      </c>
      <c r="BQ250" s="1" t="s">
        <v>74</v>
      </c>
      <c r="BR250" s="1" t="s">
        <v>74</v>
      </c>
      <c r="BS250" s="1" t="s">
        <v>2739</v>
      </c>
      <c r="BT250" s="1" t="str">
        <f>HYPERLINK("https%3A%2F%2Fwww.webofscience.com%2Fwos%2Fwoscc%2Ffull-record%2FWOS:001226259500001","View Full Record in Web of Science")</f>
        <v>View Full Record in Web of Science</v>
      </c>
    </row>
    <row r="251" ht="12.75" customHeight="1">
      <c r="A251" s="1" t="s">
        <v>72</v>
      </c>
      <c r="B251" s="1" t="s">
        <v>2740</v>
      </c>
      <c r="C251" s="1" t="s">
        <v>74</v>
      </c>
      <c r="D251" s="1" t="s">
        <v>74</v>
      </c>
      <c r="E251" s="1" t="s">
        <v>74</v>
      </c>
      <c r="F251" s="1" t="s">
        <v>2741</v>
      </c>
      <c r="G251" s="1" t="s">
        <v>74</v>
      </c>
      <c r="H251" s="1" t="s">
        <v>74</v>
      </c>
      <c r="I251" s="1" t="s">
        <v>2742</v>
      </c>
      <c r="J251" s="1" t="s">
        <v>707</v>
      </c>
      <c r="K251" s="1" t="s">
        <v>74</v>
      </c>
      <c r="L251" s="1" t="s">
        <v>74</v>
      </c>
      <c r="M251" s="1" t="s">
        <v>74</v>
      </c>
      <c r="N251" s="1" t="s">
        <v>74</v>
      </c>
      <c r="O251" s="1" t="s">
        <v>74</v>
      </c>
      <c r="P251" s="1" t="s">
        <v>74</v>
      </c>
      <c r="Q251" s="1" t="s">
        <v>74</v>
      </c>
      <c r="R251" s="1" t="s">
        <v>74</v>
      </c>
      <c r="S251" s="1" t="s">
        <v>74</v>
      </c>
      <c r="T251" s="1" t="s">
        <v>74</v>
      </c>
      <c r="U251" s="1" t="s">
        <v>74</v>
      </c>
      <c r="V251" s="1" t="s">
        <v>2743</v>
      </c>
      <c r="W251" s="1" t="s">
        <v>74</v>
      </c>
      <c r="X251" s="1" t="s">
        <v>74</v>
      </c>
      <c r="Y251" s="1" t="s">
        <v>74</v>
      </c>
      <c r="Z251" s="1" t="s">
        <v>74</v>
      </c>
      <c r="AA251" s="1" t="s">
        <v>2744</v>
      </c>
      <c r="AB251" s="1" t="s">
        <v>2745</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74</v>
      </c>
      <c r="AP251" s="1" t="s">
        <v>711</v>
      </c>
      <c r="AQ251" s="1" t="s">
        <v>74</v>
      </c>
      <c r="AR251" s="1" t="s">
        <v>74</v>
      </c>
      <c r="AS251" s="1" t="s">
        <v>74</v>
      </c>
      <c r="AT251" s="1" t="s">
        <v>202</v>
      </c>
      <c r="AU251" s="1">
        <v>2023.0</v>
      </c>
      <c r="AV251" s="1">
        <v>11.0</v>
      </c>
      <c r="AW251" s="1">
        <v>6.0</v>
      </c>
      <c r="AX251" s="1" t="s">
        <v>74</v>
      </c>
      <c r="AY251" s="1" t="s">
        <v>74</v>
      </c>
      <c r="AZ251" s="1" t="s">
        <v>74</v>
      </c>
      <c r="BA251" s="1" t="s">
        <v>74</v>
      </c>
      <c r="BB251" s="1" t="s">
        <v>74</v>
      </c>
      <c r="BC251" s="1" t="s">
        <v>74</v>
      </c>
      <c r="BD251" s="1">
        <v>1600.0</v>
      </c>
      <c r="BE251" s="1" t="s">
        <v>2746</v>
      </c>
      <c r="BF251" s="2" t="str">
        <f>HYPERLINK("http://dx.doi.org/10.3390/microorganisms11061600","http://dx.doi.org/10.3390/microorganisms11061600")</f>
        <v>http://dx.doi.org/10.3390/microorganisms11061600</v>
      </c>
      <c r="BG251" s="1" t="s">
        <v>74</v>
      </c>
      <c r="BH251" s="1" t="s">
        <v>74</v>
      </c>
      <c r="BI251" s="1" t="s">
        <v>74</v>
      </c>
      <c r="BJ251" s="1" t="s">
        <v>74</v>
      </c>
      <c r="BK251" s="1" t="s">
        <v>74</v>
      </c>
      <c r="BL251" s="1" t="s">
        <v>74</v>
      </c>
      <c r="BM251" s="1" t="s">
        <v>74</v>
      </c>
      <c r="BN251" s="1">
        <v>3.7375102E7</v>
      </c>
      <c r="BO251" s="1" t="s">
        <v>74</v>
      </c>
      <c r="BP251" s="1" t="s">
        <v>74</v>
      </c>
      <c r="BQ251" s="1" t="s">
        <v>74</v>
      </c>
      <c r="BR251" s="1" t="s">
        <v>74</v>
      </c>
      <c r="BS251" s="1" t="s">
        <v>2747</v>
      </c>
      <c r="BT251" s="1" t="str">
        <f>HYPERLINK("https%3A%2F%2Fwww.webofscience.com%2Fwos%2Fwoscc%2Ffull-record%2FWOS:001015469000001","View Full Record in Web of Science")</f>
        <v>View Full Record in Web of Science</v>
      </c>
    </row>
    <row r="252" ht="12.75" customHeight="1">
      <c r="A252" s="1" t="s">
        <v>72</v>
      </c>
      <c r="B252" s="1" t="s">
        <v>2748</v>
      </c>
      <c r="C252" s="1" t="s">
        <v>74</v>
      </c>
      <c r="D252" s="1" t="s">
        <v>74</v>
      </c>
      <c r="E252" s="1" t="s">
        <v>74</v>
      </c>
      <c r="F252" s="1" t="s">
        <v>2749</v>
      </c>
      <c r="G252" s="1" t="s">
        <v>74</v>
      </c>
      <c r="H252" s="1" t="s">
        <v>74</v>
      </c>
      <c r="I252" s="1" t="s">
        <v>2750</v>
      </c>
      <c r="J252" s="1" t="s">
        <v>2751</v>
      </c>
      <c r="K252" s="1" t="s">
        <v>74</v>
      </c>
      <c r="L252" s="1" t="s">
        <v>74</v>
      </c>
      <c r="M252" s="1" t="s">
        <v>74</v>
      </c>
      <c r="N252" s="1" t="s">
        <v>74</v>
      </c>
      <c r="O252" s="1" t="s">
        <v>74</v>
      </c>
      <c r="P252" s="1" t="s">
        <v>74</v>
      </c>
      <c r="Q252" s="1" t="s">
        <v>74</v>
      </c>
      <c r="R252" s="1" t="s">
        <v>74</v>
      </c>
      <c r="S252" s="1" t="s">
        <v>74</v>
      </c>
      <c r="T252" s="1" t="s">
        <v>74</v>
      </c>
      <c r="U252" s="1" t="s">
        <v>74</v>
      </c>
      <c r="V252" s="1" t="s">
        <v>2752</v>
      </c>
      <c r="W252" s="1" t="s">
        <v>74</v>
      </c>
      <c r="X252" s="1" t="s">
        <v>74</v>
      </c>
      <c r="Y252" s="1" t="s">
        <v>74</v>
      </c>
      <c r="Z252" s="1" t="s">
        <v>74</v>
      </c>
      <c r="AA252" s="1" t="s">
        <v>2753</v>
      </c>
      <c r="AB252" s="1" t="s">
        <v>2754</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2755</v>
      </c>
      <c r="AP252" s="1" t="s">
        <v>2756</v>
      </c>
      <c r="AQ252" s="1" t="s">
        <v>74</v>
      </c>
      <c r="AR252" s="1" t="s">
        <v>74</v>
      </c>
      <c r="AS252" s="1" t="s">
        <v>74</v>
      </c>
      <c r="AT252" s="1" t="s">
        <v>2757</v>
      </c>
      <c r="AU252" s="1">
        <v>2022.0</v>
      </c>
      <c r="AV252" s="1">
        <v>61.0</v>
      </c>
      <c r="AW252" s="1">
        <v>48.0</v>
      </c>
      <c r="AX252" s="1" t="s">
        <v>74</v>
      </c>
      <c r="AY252" s="1" t="s">
        <v>74</v>
      </c>
      <c r="AZ252" s="1" t="s">
        <v>74</v>
      </c>
      <c r="BA252" s="1" t="s">
        <v>74</v>
      </c>
      <c r="BB252" s="1">
        <v>17397.0</v>
      </c>
      <c r="BC252" s="1">
        <v>17422.0</v>
      </c>
      <c r="BD252" s="1" t="s">
        <v>74</v>
      </c>
      <c r="BE252" s="1" t="s">
        <v>2758</v>
      </c>
      <c r="BF252" s="2" t="str">
        <f>HYPERLINK("http://dx.doi.org/10.1021/acs.iecr.2c02747","http://dx.doi.org/10.1021/acs.iecr.2c02747")</f>
        <v>http://dx.doi.org/10.1021/acs.iecr.2c02747</v>
      </c>
      <c r="BG252" s="1" t="s">
        <v>74</v>
      </c>
      <c r="BH252" s="1" t="s">
        <v>1722</v>
      </c>
      <c r="BI252" s="1" t="s">
        <v>74</v>
      </c>
      <c r="BJ252" s="1" t="s">
        <v>74</v>
      </c>
      <c r="BK252" s="1" t="s">
        <v>74</v>
      </c>
      <c r="BL252" s="1" t="s">
        <v>74</v>
      </c>
      <c r="BM252" s="1" t="s">
        <v>74</v>
      </c>
      <c r="BN252" s="1" t="s">
        <v>74</v>
      </c>
      <c r="BO252" s="1" t="s">
        <v>74</v>
      </c>
      <c r="BP252" s="1" t="s">
        <v>74</v>
      </c>
      <c r="BQ252" s="1" t="s">
        <v>74</v>
      </c>
      <c r="BR252" s="1" t="s">
        <v>74</v>
      </c>
      <c r="BS252" s="1" t="s">
        <v>2759</v>
      </c>
      <c r="BT252" s="1" t="str">
        <f>HYPERLINK("https%3A%2F%2Fwww.webofscience.com%2Fwos%2Fwoscc%2Ffull-record%2FWOS:000890625100001","View Full Record in Web of Science")</f>
        <v>View Full Record in Web of Science</v>
      </c>
    </row>
    <row r="253" ht="12.75" customHeight="1">
      <c r="A253" s="1" t="s">
        <v>72</v>
      </c>
      <c r="B253" s="1" t="s">
        <v>2760</v>
      </c>
      <c r="C253" s="1" t="s">
        <v>74</v>
      </c>
      <c r="D253" s="1" t="s">
        <v>74</v>
      </c>
      <c r="E253" s="1" t="s">
        <v>74</v>
      </c>
      <c r="F253" s="1" t="s">
        <v>2761</v>
      </c>
      <c r="G253" s="1" t="s">
        <v>74</v>
      </c>
      <c r="H253" s="1" t="s">
        <v>74</v>
      </c>
      <c r="I253" s="1" t="s">
        <v>2762</v>
      </c>
      <c r="J253" s="1" t="s">
        <v>2763</v>
      </c>
      <c r="K253" s="1" t="s">
        <v>74</v>
      </c>
      <c r="L253" s="1" t="s">
        <v>74</v>
      </c>
      <c r="M253" s="1" t="s">
        <v>74</v>
      </c>
      <c r="N253" s="1" t="s">
        <v>74</v>
      </c>
      <c r="O253" s="1" t="s">
        <v>74</v>
      </c>
      <c r="P253" s="1" t="s">
        <v>74</v>
      </c>
      <c r="Q253" s="1" t="s">
        <v>74</v>
      </c>
      <c r="R253" s="1" t="s">
        <v>74</v>
      </c>
      <c r="S253" s="1" t="s">
        <v>74</v>
      </c>
      <c r="T253" s="1" t="s">
        <v>74</v>
      </c>
      <c r="U253" s="1" t="s">
        <v>74</v>
      </c>
      <c r="V253" s="1" t="s">
        <v>2764</v>
      </c>
      <c r="W253" s="1" t="s">
        <v>74</v>
      </c>
      <c r="X253" s="1" t="s">
        <v>74</v>
      </c>
      <c r="Y253" s="1" t="s">
        <v>74</v>
      </c>
      <c r="Z253" s="1" t="s">
        <v>74</v>
      </c>
      <c r="AA253" s="1" t="s">
        <v>2765</v>
      </c>
      <c r="AB253" s="1" t="s">
        <v>2766</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74</v>
      </c>
      <c r="AP253" s="1" t="s">
        <v>2767</v>
      </c>
      <c r="AQ253" s="1" t="s">
        <v>74</v>
      </c>
      <c r="AR253" s="1" t="s">
        <v>74</v>
      </c>
      <c r="AS253" s="1" t="s">
        <v>74</v>
      </c>
      <c r="AT253" s="1" t="s">
        <v>239</v>
      </c>
      <c r="AU253" s="1">
        <v>2020.0</v>
      </c>
      <c r="AV253" s="1">
        <v>9.0</v>
      </c>
      <c r="AW253" s="1">
        <v>5.0</v>
      </c>
      <c r="AX253" s="1" t="s">
        <v>74</v>
      </c>
      <c r="AY253" s="1" t="s">
        <v>74</v>
      </c>
      <c r="AZ253" s="1" t="s">
        <v>74</v>
      </c>
      <c r="BA253" s="1" t="s">
        <v>74</v>
      </c>
      <c r="BB253" s="1" t="s">
        <v>74</v>
      </c>
      <c r="BC253" s="1" t="s">
        <v>74</v>
      </c>
      <c r="BD253" s="1">
        <v>565.0</v>
      </c>
      <c r="BE253" s="1" t="s">
        <v>2768</v>
      </c>
      <c r="BF253" s="2" t="str">
        <f>HYPERLINK("http://dx.doi.org/10.3390/foods9050565","http://dx.doi.org/10.3390/foods9050565")</f>
        <v>http://dx.doi.org/10.3390/foods9050565</v>
      </c>
      <c r="BG253" s="1" t="s">
        <v>74</v>
      </c>
      <c r="BH253" s="1" t="s">
        <v>74</v>
      </c>
      <c r="BI253" s="1" t="s">
        <v>74</v>
      </c>
      <c r="BJ253" s="1" t="s">
        <v>74</v>
      </c>
      <c r="BK253" s="1" t="s">
        <v>74</v>
      </c>
      <c r="BL253" s="1" t="s">
        <v>74</v>
      </c>
      <c r="BM253" s="1" t="s">
        <v>74</v>
      </c>
      <c r="BN253" s="1">
        <v>3.237527E7</v>
      </c>
      <c r="BO253" s="1" t="s">
        <v>74</v>
      </c>
      <c r="BP253" s="1" t="s">
        <v>74</v>
      </c>
      <c r="BQ253" s="1" t="s">
        <v>74</v>
      </c>
      <c r="BR253" s="1" t="s">
        <v>74</v>
      </c>
      <c r="BS253" s="1" t="s">
        <v>2769</v>
      </c>
      <c r="BT253" s="1" t="str">
        <f>HYPERLINK("https%3A%2F%2Fwww.webofscience.com%2Fwos%2Fwoscc%2Ffull-record%2FWOS:000542281300012","View Full Record in Web of Science")</f>
        <v>View Full Record in Web of Science</v>
      </c>
    </row>
    <row r="254" ht="12.75" customHeight="1">
      <c r="A254" s="1" t="s">
        <v>72</v>
      </c>
      <c r="B254" s="1" t="s">
        <v>2770</v>
      </c>
      <c r="C254" s="1" t="s">
        <v>74</v>
      </c>
      <c r="D254" s="1" t="s">
        <v>74</v>
      </c>
      <c r="E254" s="1" t="s">
        <v>74</v>
      </c>
      <c r="F254" s="1" t="s">
        <v>2771</v>
      </c>
      <c r="G254" s="1" t="s">
        <v>74</v>
      </c>
      <c r="H254" s="1" t="s">
        <v>74</v>
      </c>
      <c r="I254" s="1" t="s">
        <v>2772</v>
      </c>
      <c r="J254" s="1" t="s">
        <v>2479</v>
      </c>
      <c r="K254" s="1" t="s">
        <v>74</v>
      </c>
      <c r="L254" s="1" t="s">
        <v>74</v>
      </c>
      <c r="M254" s="1" t="s">
        <v>74</v>
      </c>
      <c r="N254" s="1" t="s">
        <v>74</v>
      </c>
      <c r="O254" s="1" t="s">
        <v>74</v>
      </c>
      <c r="P254" s="1" t="s">
        <v>74</v>
      </c>
      <c r="Q254" s="1" t="s">
        <v>74</v>
      </c>
      <c r="R254" s="1" t="s">
        <v>74</v>
      </c>
      <c r="S254" s="1" t="s">
        <v>74</v>
      </c>
      <c r="T254" s="1" t="s">
        <v>74</v>
      </c>
      <c r="U254" s="1" t="s">
        <v>74</v>
      </c>
      <c r="V254" s="1" t="s">
        <v>2773</v>
      </c>
      <c r="W254" s="1" t="s">
        <v>74</v>
      </c>
      <c r="X254" s="1" t="s">
        <v>74</v>
      </c>
      <c r="Y254" s="1" t="s">
        <v>74</v>
      </c>
      <c r="Z254" s="1" t="s">
        <v>74</v>
      </c>
      <c r="AA254" s="1" t="s">
        <v>2774</v>
      </c>
      <c r="AB254" s="1" t="s">
        <v>2775</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74</v>
      </c>
      <c r="AP254" s="1" t="s">
        <v>2483</v>
      </c>
      <c r="AQ254" s="1" t="s">
        <v>74</v>
      </c>
      <c r="AR254" s="1" t="s">
        <v>74</v>
      </c>
      <c r="AS254" s="1" t="s">
        <v>74</v>
      </c>
      <c r="AT254" s="1" t="s">
        <v>485</v>
      </c>
      <c r="AU254" s="1">
        <v>2019.0</v>
      </c>
      <c r="AV254" s="1">
        <v>10.0</v>
      </c>
      <c r="AW254" s="1" t="s">
        <v>74</v>
      </c>
      <c r="AX254" s="1" t="s">
        <v>74</v>
      </c>
      <c r="AY254" s="1" t="s">
        <v>74</v>
      </c>
      <c r="AZ254" s="1" t="s">
        <v>74</v>
      </c>
      <c r="BA254" s="1" t="s">
        <v>74</v>
      </c>
      <c r="BB254" s="1" t="s">
        <v>74</v>
      </c>
      <c r="BC254" s="1" t="s">
        <v>74</v>
      </c>
      <c r="BD254" s="1">
        <v>1429.0</v>
      </c>
      <c r="BE254" s="1" t="s">
        <v>2776</v>
      </c>
      <c r="BF254" s="2" t="str">
        <f>HYPERLINK("http://dx.doi.org/10.3389/fphar.2019.01429","http://dx.doi.org/10.3389/fphar.2019.01429")</f>
        <v>http://dx.doi.org/10.3389/fphar.2019.01429</v>
      </c>
      <c r="BG254" s="1" t="s">
        <v>74</v>
      </c>
      <c r="BH254" s="1" t="s">
        <v>74</v>
      </c>
      <c r="BI254" s="1" t="s">
        <v>74</v>
      </c>
      <c r="BJ254" s="1" t="s">
        <v>74</v>
      </c>
      <c r="BK254" s="1" t="s">
        <v>74</v>
      </c>
      <c r="BL254" s="1" t="s">
        <v>74</v>
      </c>
      <c r="BM254" s="1" t="s">
        <v>74</v>
      </c>
      <c r="BN254" s="1">
        <v>3.1849674E7</v>
      </c>
      <c r="BO254" s="1" t="s">
        <v>74</v>
      </c>
      <c r="BP254" s="1" t="s">
        <v>74</v>
      </c>
      <c r="BQ254" s="1" t="s">
        <v>74</v>
      </c>
      <c r="BR254" s="1" t="s">
        <v>74</v>
      </c>
      <c r="BS254" s="1" t="s">
        <v>2777</v>
      </c>
      <c r="BT254" s="1" t="str">
        <f>HYPERLINK("https%3A%2F%2Fwww.webofscience.com%2Fwos%2Fwoscc%2Ffull-record%2FWOS:000503247100001","View Full Record in Web of Science")</f>
        <v>View Full Record in Web of Science</v>
      </c>
    </row>
    <row r="255" ht="12.75" customHeight="1">
      <c r="A255" s="1" t="s">
        <v>72</v>
      </c>
      <c r="B255" s="1" t="s">
        <v>2778</v>
      </c>
      <c r="C255" s="1" t="s">
        <v>74</v>
      </c>
      <c r="D255" s="1" t="s">
        <v>74</v>
      </c>
      <c r="E255" s="1" t="s">
        <v>74</v>
      </c>
      <c r="F255" s="1" t="s">
        <v>2779</v>
      </c>
      <c r="G255" s="1" t="s">
        <v>74</v>
      </c>
      <c r="H255" s="1" t="s">
        <v>74</v>
      </c>
      <c r="I255" s="1" t="s">
        <v>2780</v>
      </c>
      <c r="J255" s="1" t="s">
        <v>2379</v>
      </c>
      <c r="K255" s="1" t="s">
        <v>74</v>
      </c>
      <c r="L255" s="1" t="s">
        <v>74</v>
      </c>
      <c r="M255" s="1" t="s">
        <v>74</v>
      </c>
      <c r="N255" s="1" t="s">
        <v>74</v>
      </c>
      <c r="O255" s="1" t="s">
        <v>74</v>
      </c>
      <c r="P255" s="1" t="s">
        <v>74</v>
      </c>
      <c r="Q255" s="1" t="s">
        <v>74</v>
      </c>
      <c r="R255" s="1" t="s">
        <v>74</v>
      </c>
      <c r="S255" s="1" t="s">
        <v>74</v>
      </c>
      <c r="T255" s="1" t="s">
        <v>74</v>
      </c>
      <c r="U255" s="1" t="s">
        <v>74</v>
      </c>
      <c r="V255" s="1" t="s">
        <v>2781</v>
      </c>
      <c r="W255" s="1" t="s">
        <v>74</v>
      </c>
      <c r="X255" s="1" t="s">
        <v>74</v>
      </c>
      <c r="Y255" s="1" t="s">
        <v>74</v>
      </c>
      <c r="Z255" s="1" t="s">
        <v>74</v>
      </c>
      <c r="AA255" s="1" t="s">
        <v>2782</v>
      </c>
      <c r="AB255" s="1" t="s">
        <v>2783</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2383</v>
      </c>
      <c r="AP255" s="1" t="s">
        <v>2384</v>
      </c>
      <c r="AQ255" s="1" t="s">
        <v>74</v>
      </c>
      <c r="AR255" s="1" t="s">
        <v>74</v>
      </c>
      <c r="AS255" s="1" t="s">
        <v>74</v>
      </c>
      <c r="AT255" s="1" t="s">
        <v>2784</v>
      </c>
      <c r="AU255" s="1">
        <v>2019.0</v>
      </c>
      <c r="AV255" s="1">
        <v>48.0</v>
      </c>
      <c r="AW255" s="1">
        <v>3.0</v>
      </c>
      <c r="AX255" s="1" t="s">
        <v>74</v>
      </c>
      <c r="AY255" s="1" t="s">
        <v>74</v>
      </c>
      <c r="AZ255" s="1" t="s">
        <v>74</v>
      </c>
      <c r="BA255" s="1" t="s">
        <v>74</v>
      </c>
      <c r="BB255" s="1">
        <v>1023.0</v>
      </c>
      <c r="BC255" s="1">
        <v>1039.0</v>
      </c>
      <c r="BD255" s="1" t="s">
        <v>74</v>
      </c>
      <c r="BE255" s="1" t="s">
        <v>2785</v>
      </c>
      <c r="BF255" s="2" t="str">
        <f>HYPERLINK("http://dx.doi.org/10.1039/c8dt03265c","http://dx.doi.org/10.1039/c8dt03265c")</f>
        <v>http://dx.doi.org/10.1039/c8dt03265c</v>
      </c>
      <c r="BG255" s="1" t="s">
        <v>74</v>
      </c>
      <c r="BH255" s="1" t="s">
        <v>74</v>
      </c>
      <c r="BI255" s="1" t="s">
        <v>74</v>
      </c>
      <c r="BJ255" s="1" t="s">
        <v>74</v>
      </c>
      <c r="BK255" s="1" t="s">
        <v>74</v>
      </c>
      <c r="BL255" s="1" t="s">
        <v>74</v>
      </c>
      <c r="BM255" s="1" t="s">
        <v>74</v>
      </c>
      <c r="BN255" s="1">
        <v>3.0604795E7</v>
      </c>
      <c r="BO255" s="1" t="s">
        <v>74</v>
      </c>
      <c r="BP255" s="1" t="s">
        <v>74</v>
      </c>
      <c r="BQ255" s="1" t="s">
        <v>74</v>
      </c>
      <c r="BR255" s="1" t="s">
        <v>74</v>
      </c>
      <c r="BS255" s="1" t="s">
        <v>2786</v>
      </c>
      <c r="BT255" s="1" t="str">
        <f>HYPERLINK("https%3A%2F%2Fwww.webofscience.com%2Fwos%2Fwoscc%2Ffull-record%2FWOS:000457270000027","View Full Record in Web of Science")</f>
        <v>View Full Record in Web of Science</v>
      </c>
    </row>
    <row r="256" ht="12.75" customHeight="1">
      <c r="A256" s="1" t="s">
        <v>72</v>
      </c>
      <c r="B256" s="1" t="s">
        <v>2787</v>
      </c>
      <c r="C256" s="1" t="s">
        <v>74</v>
      </c>
      <c r="D256" s="1" t="s">
        <v>74</v>
      </c>
      <c r="E256" s="1" t="s">
        <v>74</v>
      </c>
      <c r="F256" s="1" t="s">
        <v>2788</v>
      </c>
      <c r="G256" s="1" t="s">
        <v>74</v>
      </c>
      <c r="H256" s="1" t="s">
        <v>74</v>
      </c>
      <c r="I256" s="1" t="s">
        <v>2789</v>
      </c>
      <c r="J256" s="1" t="s">
        <v>2790</v>
      </c>
      <c r="K256" s="1" t="s">
        <v>74</v>
      </c>
      <c r="L256" s="1" t="s">
        <v>74</v>
      </c>
      <c r="M256" s="1" t="s">
        <v>74</v>
      </c>
      <c r="N256" s="1" t="s">
        <v>74</v>
      </c>
      <c r="O256" s="1" t="s">
        <v>74</v>
      </c>
      <c r="P256" s="1" t="s">
        <v>74</v>
      </c>
      <c r="Q256" s="1" t="s">
        <v>74</v>
      </c>
      <c r="R256" s="1" t="s">
        <v>74</v>
      </c>
      <c r="S256" s="1" t="s">
        <v>74</v>
      </c>
      <c r="T256" s="1" t="s">
        <v>74</v>
      </c>
      <c r="U256" s="1" t="s">
        <v>74</v>
      </c>
      <c r="V256" s="1" t="s">
        <v>2791</v>
      </c>
      <c r="W256" s="1" t="s">
        <v>74</v>
      </c>
      <c r="X256" s="1" t="s">
        <v>74</v>
      </c>
      <c r="Y256" s="1" t="s">
        <v>74</v>
      </c>
      <c r="Z256" s="1" t="s">
        <v>74</v>
      </c>
      <c r="AA256" s="1" t="s">
        <v>2792</v>
      </c>
      <c r="AB256" s="1" t="s">
        <v>2793</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2794</v>
      </c>
      <c r="AP256" s="1" t="s">
        <v>2795</v>
      </c>
      <c r="AQ256" s="1" t="s">
        <v>74</v>
      </c>
      <c r="AR256" s="1" t="s">
        <v>74</v>
      </c>
      <c r="AS256" s="1" t="s">
        <v>74</v>
      </c>
      <c r="AT256" s="1" t="s">
        <v>106</v>
      </c>
      <c r="AU256" s="1">
        <v>2018.0</v>
      </c>
      <c r="AV256" s="1">
        <v>64.0</v>
      </c>
      <c r="AW256" s="1" t="s">
        <v>74</v>
      </c>
      <c r="AX256" s="1" t="s">
        <v>74</v>
      </c>
      <c r="AY256" s="1" t="s">
        <v>74</v>
      </c>
      <c r="AZ256" s="1" t="s">
        <v>74</v>
      </c>
      <c r="BA256" s="1" t="s">
        <v>74</v>
      </c>
      <c r="BB256" s="1">
        <v>1.0</v>
      </c>
      <c r="BC256" s="1">
        <v>8.0</v>
      </c>
      <c r="BD256" s="1" t="s">
        <v>74</v>
      </c>
      <c r="BE256" s="1" t="s">
        <v>2796</v>
      </c>
      <c r="BF256" s="2" t="str">
        <f>HYPERLINK("http://dx.doi.org/10.1016/j.lmot.2018.07.003","http://dx.doi.org/10.1016/j.lmot.2018.07.003")</f>
        <v>http://dx.doi.org/10.1016/j.lmot.2018.07.003</v>
      </c>
      <c r="BG256" s="1" t="s">
        <v>74</v>
      </c>
      <c r="BH256" s="1" t="s">
        <v>74</v>
      </c>
      <c r="BI256" s="1" t="s">
        <v>74</v>
      </c>
      <c r="BJ256" s="1" t="s">
        <v>74</v>
      </c>
      <c r="BK256" s="1" t="s">
        <v>74</v>
      </c>
      <c r="BL256" s="1" t="s">
        <v>74</v>
      </c>
      <c r="BM256" s="1" t="s">
        <v>74</v>
      </c>
      <c r="BN256" s="1">
        <v>3.0532341E7</v>
      </c>
      <c r="BO256" s="1" t="s">
        <v>74</v>
      </c>
      <c r="BP256" s="1" t="s">
        <v>74</v>
      </c>
      <c r="BQ256" s="1" t="s">
        <v>74</v>
      </c>
      <c r="BR256" s="1" t="s">
        <v>74</v>
      </c>
      <c r="BS256" s="1" t="s">
        <v>2797</v>
      </c>
      <c r="BT256" s="1" t="str">
        <f>HYPERLINK("https%3A%2F%2Fwww.webofscience.com%2Fwos%2Fwoscc%2Ffull-record%2FWOS:000449903800001","View Full Record in Web of Science")</f>
        <v>View Full Record in Web of Science</v>
      </c>
    </row>
    <row r="257" ht="12.75" customHeight="1">
      <c r="A257" s="1" t="s">
        <v>1303</v>
      </c>
      <c r="B257" s="1" t="s">
        <v>2798</v>
      </c>
      <c r="C257" s="1" t="s">
        <v>74</v>
      </c>
      <c r="D257" s="1" t="s">
        <v>2799</v>
      </c>
      <c r="E257" s="1" t="s">
        <v>74</v>
      </c>
      <c r="F257" s="1" t="s">
        <v>2798</v>
      </c>
      <c r="G257" s="1" t="s">
        <v>74</v>
      </c>
      <c r="H257" s="1" t="s">
        <v>74</v>
      </c>
      <c r="I257" s="1" t="s">
        <v>2800</v>
      </c>
      <c r="J257" s="1" t="s">
        <v>2801</v>
      </c>
      <c r="K257" s="1" t="s">
        <v>1308</v>
      </c>
      <c r="L257" s="1" t="s">
        <v>74</v>
      </c>
      <c r="M257" s="1" t="s">
        <v>74</v>
      </c>
      <c r="N257" s="1" t="s">
        <v>74</v>
      </c>
      <c r="O257" s="1" t="s">
        <v>2802</v>
      </c>
      <c r="P257" s="1" t="s">
        <v>1310</v>
      </c>
      <c r="Q257" s="1" t="s">
        <v>1311</v>
      </c>
      <c r="R257" s="1" t="s">
        <v>2803</v>
      </c>
      <c r="S257" s="1" t="s">
        <v>74</v>
      </c>
      <c r="T257" s="1" t="s">
        <v>74</v>
      </c>
      <c r="U257" s="1" t="s">
        <v>74</v>
      </c>
      <c r="V257" s="1" t="s">
        <v>2804</v>
      </c>
      <c r="W257" s="1" t="s">
        <v>74</v>
      </c>
      <c r="X257" s="1" t="s">
        <v>74</v>
      </c>
      <c r="Y257" s="1" t="s">
        <v>74</v>
      </c>
      <c r="Z257" s="1" t="s">
        <v>74</v>
      </c>
      <c r="AA257" s="1" t="s">
        <v>2805</v>
      </c>
      <c r="AB257" s="1" t="s">
        <v>2806</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1316</v>
      </c>
      <c r="AP257" s="1" t="s">
        <v>74</v>
      </c>
      <c r="AQ257" s="1" t="s">
        <v>74</v>
      </c>
      <c r="AR257" s="1" t="s">
        <v>74</v>
      </c>
      <c r="AS257" s="1" t="s">
        <v>74</v>
      </c>
      <c r="AT257" s="1" t="s">
        <v>74</v>
      </c>
      <c r="AU257" s="1">
        <v>2002.0</v>
      </c>
      <c r="AV257" s="1">
        <v>30.0</v>
      </c>
      <c r="AW257" s="1">
        <v>12.0</v>
      </c>
      <c r="AX257" s="1" t="s">
        <v>74</v>
      </c>
      <c r="AY257" s="1" t="s">
        <v>74</v>
      </c>
      <c r="AZ257" s="1" t="s">
        <v>74</v>
      </c>
      <c r="BA257" s="1" t="s">
        <v>74</v>
      </c>
      <c r="BB257" s="1">
        <v>2719.0</v>
      </c>
      <c r="BC257" s="1">
        <v>2724.0</v>
      </c>
      <c r="BD257" s="1" t="s">
        <v>2807</v>
      </c>
      <c r="BE257" s="1" t="s">
        <v>2808</v>
      </c>
      <c r="BF257" s="2" t="str">
        <f>HYPERLINK("http://dx.doi.org/10.1016/S0273-1177(02)80392-1","http://dx.doi.org/10.1016/S0273-1177(02)80392-1")</f>
        <v>http://dx.doi.org/10.1016/S0273-1177(02)80392-1</v>
      </c>
      <c r="BG257" s="1" t="s">
        <v>74</v>
      </c>
      <c r="BH257" s="1" t="s">
        <v>74</v>
      </c>
      <c r="BI257" s="1" t="s">
        <v>74</v>
      </c>
      <c r="BJ257" s="1" t="s">
        <v>74</v>
      </c>
      <c r="BK257" s="1" t="s">
        <v>74</v>
      </c>
      <c r="BL257" s="1" t="s">
        <v>74</v>
      </c>
      <c r="BM257" s="1" t="s">
        <v>74</v>
      </c>
      <c r="BN257" s="1" t="s">
        <v>74</v>
      </c>
      <c r="BO257" s="1" t="s">
        <v>74</v>
      </c>
      <c r="BP257" s="1" t="s">
        <v>74</v>
      </c>
      <c r="BQ257" s="1" t="s">
        <v>74</v>
      </c>
      <c r="BR257" s="1" t="s">
        <v>74</v>
      </c>
      <c r="BS257" s="1" t="s">
        <v>2809</v>
      </c>
      <c r="BT257" s="1" t="str">
        <f>HYPERLINK("https%3A%2F%2Fwww.webofscience.com%2Fwos%2Fwoscc%2Ffull-record%2FWOS:000180725900011","View Full Record in Web of Science")</f>
        <v>View Full Record in Web of Science</v>
      </c>
    </row>
    <row r="258" ht="12.75" customHeight="1">
      <c r="A258" s="1" t="s">
        <v>72</v>
      </c>
      <c r="B258" s="1" t="s">
        <v>2810</v>
      </c>
      <c r="C258" s="1" t="s">
        <v>74</v>
      </c>
      <c r="D258" s="1" t="s">
        <v>74</v>
      </c>
      <c r="E258" s="1" t="s">
        <v>74</v>
      </c>
      <c r="F258" s="1" t="s">
        <v>2811</v>
      </c>
      <c r="G258" s="1" t="s">
        <v>74</v>
      </c>
      <c r="H258" s="1" t="s">
        <v>74</v>
      </c>
      <c r="I258" s="1" t="s">
        <v>2812</v>
      </c>
      <c r="J258" s="1" t="s">
        <v>1872</v>
      </c>
      <c r="K258" s="1" t="s">
        <v>74</v>
      </c>
      <c r="L258" s="1" t="s">
        <v>74</v>
      </c>
      <c r="M258" s="1" t="s">
        <v>74</v>
      </c>
      <c r="N258" s="1" t="s">
        <v>74</v>
      </c>
      <c r="O258" s="1" t="s">
        <v>74</v>
      </c>
      <c r="P258" s="1" t="s">
        <v>74</v>
      </c>
      <c r="Q258" s="1" t="s">
        <v>74</v>
      </c>
      <c r="R258" s="1" t="s">
        <v>74</v>
      </c>
      <c r="S258" s="1" t="s">
        <v>74</v>
      </c>
      <c r="T258" s="1" t="s">
        <v>74</v>
      </c>
      <c r="U258" s="1" t="s">
        <v>74</v>
      </c>
      <c r="V258" s="1" t="s">
        <v>2813</v>
      </c>
      <c r="W258" s="1" t="s">
        <v>74</v>
      </c>
      <c r="X258" s="1" t="s">
        <v>74</v>
      </c>
      <c r="Y258" s="1" t="s">
        <v>74</v>
      </c>
      <c r="Z258" s="1" t="s">
        <v>74</v>
      </c>
      <c r="AA258" s="1" t="s">
        <v>2814</v>
      </c>
      <c r="AB258" s="1" t="s">
        <v>2815</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1875</v>
      </c>
      <c r="AP258" s="1" t="s">
        <v>1876</v>
      </c>
      <c r="AQ258" s="1" t="s">
        <v>74</v>
      </c>
      <c r="AR258" s="1" t="s">
        <v>74</v>
      </c>
      <c r="AS258" s="1" t="s">
        <v>74</v>
      </c>
      <c r="AT258" s="1" t="s">
        <v>2816</v>
      </c>
      <c r="AU258" s="1">
        <v>2025.0</v>
      </c>
      <c r="AV258" s="1" t="s">
        <v>74</v>
      </c>
      <c r="AW258" s="1" t="s">
        <v>74</v>
      </c>
      <c r="AX258" s="1" t="s">
        <v>74</v>
      </c>
      <c r="AY258" s="1" t="s">
        <v>74</v>
      </c>
      <c r="AZ258" s="1" t="s">
        <v>74</v>
      </c>
      <c r="BA258" s="1" t="s">
        <v>74</v>
      </c>
      <c r="BB258" s="1" t="s">
        <v>74</v>
      </c>
      <c r="BC258" s="1" t="s">
        <v>74</v>
      </c>
      <c r="BD258" s="1" t="s">
        <v>74</v>
      </c>
      <c r="BE258" s="1" t="s">
        <v>2817</v>
      </c>
      <c r="BF258" s="2" t="str">
        <f>HYPERLINK("http://dx.doi.org/10.1136/bjsports-2024-108780","http://dx.doi.org/10.1136/bjsports-2024-108780")</f>
        <v>http://dx.doi.org/10.1136/bjsports-2024-108780</v>
      </c>
      <c r="BG258" s="1" t="s">
        <v>74</v>
      </c>
      <c r="BH258" s="1" t="s">
        <v>2262</v>
      </c>
      <c r="BI258" s="1" t="s">
        <v>74</v>
      </c>
      <c r="BJ258" s="1" t="s">
        <v>74</v>
      </c>
      <c r="BK258" s="1" t="s">
        <v>74</v>
      </c>
      <c r="BL258" s="1" t="s">
        <v>74</v>
      </c>
      <c r="BM258" s="1" t="s">
        <v>74</v>
      </c>
      <c r="BN258" s="1">
        <v>3.9978839E7</v>
      </c>
      <c r="BO258" s="1" t="s">
        <v>74</v>
      </c>
      <c r="BP258" s="1" t="s">
        <v>74</v>
      </c>
      <c r="BQ258" s="1" t="s">
        <v>74</v>
      </c>
      <c r="BR258" s="1" t="s">
        <v>74</v>
      </c>
      <c r="BS258" s="1" t="s">
        <v>2818</v>
      </c>
      <c r="BT258" s="1" t="str">
        <f>HYPERLINK("https%3A%2F%2Fwww.webofscience.com%2Fwos%2Fwoscc%2Ffull-record%2FWOS:001427113200001","View Full Record in Web of Science")</f>
        <v>View Full Record in Web of Science</v>
      </c>
    </row>
    <row r="259" ht="12.75" customHeight="1">
      <c r="A259" s="1" t="s">
        <v>72</v>
      </c>
      <c r="B259" s="1" t="s">
        <v>2819</v>
      </c>
      <c r="C259" s="1" t="s">
        <v>74</v>
      </c>
      <c r="D259" s="1" t="s">
        <v>74</v>
      </c>
      <c r="E259" s="1" t="s">
        <v>74</v>
      </c>
      <c r="F259" s="1" t="s">
        <v>2820</v>
      </c>
      <c r="G259" s="1" t="s">
        <v>74</v>
      </c>
      <c r="H259" s="1" t="s">
        <v>74</v>
      </c>
      <c r="I259" s="1" t="s">
        <v>2821</v>
      </c>
      <c r="J259" s="1" t="s">
        <v>2822</v>
      </c>
      <c r="K259" s="1" t="s">
        <v>74</v>
      </c>
      <c r="L259" s="1" t="s">
        <v>74</v>
      </c>
      <c r="M259" s="1" t="s">
        <v>74</v>
      </c>
      <c r="N259" s="1" t="s">
        <v>74</v>
      </c>
      <c r="O259" s="1" t="s">
        <v>74</v>
      </c>
      <c r="P259" s="1" t="s">
        <v>74</v>
      </c>
      <c r="Q259" s="1" t="s">
        <v>74</v>
      </c>
      <c r="R259" s="1" t="s">
        <v>74</v>
      </c>
      <c r="S259" s="1" t="s">
        <v>74</v>
      </c>
      <c r="T259" s="1" t="s">
        <v>74</v>
      </c>
      <c r="U259" s="1" t="s">
        <v>74</v>
      </c>
      <c r="V259" s="1" t="s">
        <v>2823</v>
      </c>
      <c r="W259" s="1" t="s">
        <v>74</v>
      </c>
      <c r="X259" s="1" t="s">
        <v>74</v>
      </c>
      <c r="Y259" s="1" t="s">
        <v>74</v>
      </c>
      <c r="Z259" s="1" t="s">
        <v>74</v>
      </c>
      <c r="AA259" s="1" t="s">
        <v>2824</v>
      </c>
      <c r="AB259" s="1" t="s">
        <v>2825</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2826</v>
      </c>
      <c r="AP259" s="1" t="s">
        <v>2827</v>
      </c>
      <c r="AQ259" s="1" t="s">
        <v>74</v>
      </c>
      <c r="AR259" s="1" t="s">
        <v>74</v>
      </c>
      <c r="AS259" s="1" t="s">
        <v>74</v>
      </c>
      <c r="AT259" s="1" t="s">
        <v>745</v>
      </c>
      <c r="AU259" s="1">
        <v>2024.0</v>
      </c>
      <c r="AV259" s="1">
        <v>225.0</v>
      </c>
      <c r="AW259" s="1" t="s">
        <v>74</v>
      </c>
      <c r="AX259" s="1" t="s">
        <v>74</v>
      </c>
      <c r="AY259" s="1" t="s">
        <v>74</v>
      </c>
      <c r="AZ259" s="1" t="s">
        <v>74</v>
      </c>
      <c r="BA259" s="1" t="s">
        <v>74</v>
      </c>
      <c r="BB259" s="1" t="s">
        <v>74</v>
      </c>
      <c r="BC259" s="1" t="s">
        <v>74</v>
      </c>
      <c r="BD259" s="1">
        <v>113247.0</v>
      </c>
      <c r="BE259" s="1" t="s">
        <v>2828</v>
      </c>
      <c r="BF259" s="2" t="str">
        <f>HYPERLINK("http://dx.doi.org/10.1016/j.vacuum.2024.113247","http://dx.doi.org/10.1016/j.vacuum.2024.113247")</f>
        <v>http://dx.doi.org/10.1016/j.vacuum.2024.113247</v>
      </c>
      <c r="BG259" s="1" t="s">
        <v>74</v>
      </c>
      <c r="BH259" s="1" t="s">
        <v>301</v>
      </c>
      <c r="BI259" s="1" t="s">
        <v>74</v>
      </c>
      <c r="BJ259" s="1" t="s">
        <v>74</v>
      </c>
      <c r="BK259" s="1" t="s">
        <v>74</v>
      </c>
      <c r="BL259" s="1" t="s">
        <v>74</v>
      </c>
      <c r="BM259" s="1" t="s">
        <v>74</v>
      </c>
      <c r="BN259" s="1" t="s">
        <v>74</v>
      </c>
      <c r="BO259" s="1" t="s">
        <v>74</v>
      </c>
      <c r="BP259" s="1" t="s">
        <v>74</v>
      </c>
      <c r="BQ259" s="1" t="s">
        <v>74</v>
      </c>
      <c r="BR259" s="1" t="s">
        <v>74</v>
      </c>
      <c r="BS259" s="1" t="s">
        <v>2829</v>
      </c>
      <c r="BT259" s="1" t="str">
        <f>HYPERLINK("https%3A%2F%2Fwww.webofscience.com%2Fwos%2Fwoscc%2Ffull-record%2FWOS:001301432700001","View Full Record in Web of Science")</f>
        <v>View Full Record in Web of Science</v>
      </c>
    </row>
    <row r="260" ht="12.75" customHeight="1">
      <c r="A260" s="1" t="s">
        <v>72</v>
      </c>
      <c r="B260" s="1" t="s">
        <v>2830</v>
      </c>
      <c r="C260" s="1" t="s">
        <v>74</v>
      </c>
      <c r="D260" s="1" t="s">
        <v>74</v>
      </c>
      <c r="E260" s="1" t="s">
        <v>74</v>
      </c>
      <c r="F260" s="1" t="s">
        <v>2831</v>
      </c>
      <c r="G260" s="1" t="s">
        <v>74</v>
      </c>
      <c r="H260" s="1" t="s">
        <v>74</v>
      </c>
      <c r="I260" s="1" t="s">
        <v>2832</v>
      </c>
      <c r="J260" s="1" t="s">
        <v>2833</v>
      </c>
      <c r="K260" s="1" t="s">
        <v>74</v>
      </c>
      <c r="L260" s="1" t="s">
        <v>74</v>
      </c>
      <c r="M260" s="1" t="s">
        <v>74</v>
      </c>
      <c r="N260" s="1" t="s">
        <v>74</v>
      </c>
      <c r="O260" s="1" t="s">
        <v>74</v>
      </c>
      <c r="P260" s="1" t="s">
        <v>74</v>
      </c>
      <c r="Q260" s="1" t="s">
        <v>74</v>
      </c>
      <c r="R260" s="1" t="s">
        <v>74</v>
      </c>
      <c r="S260" s="1" t="s">
        <v>74</v>
      </c>
      <c r="T260" s="1" t="s">
        <v>74</v>
      </c>
      <c r="U260" s="1" t="s">
        <v>74</v>
      </c>
      <c r="V260" s="1" t="s">
        <v>2834</v>
      </c>
      <c r="W260" s="1" t="s">
        <v>74</v>
      </c>
      <c r="X260" s="1" t="s">
        <v>74</v>
      </c>
      <c r="Y260" s="1" t="s">
        <v>74</v>
      </c>
      <c r="Z260" s="1" t="s">
        <v>74</v>
      </c>
      <c r="AA260" s="1" t="s">
        <v>2835</v>
      </c>
      <c r="AB260" s="1" t="s">
        <v>2836</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2837</v>
      </c>
      <c r="AP260" s="1" t="s">
        <v>2838</v>
      </c>
      <c r="AQ260" s="1" t="s">
        <v>74</v>
      </c>
      <c r="AR260" s="1" t="s">
        <v>74</v>
      </c>
      <c r="AS260" s="1" t="s">
        <v>74</v>
      </c>
      <c r="AT260" s="1" t="s">
        <v>346</v>
      </c>
      <c r="AU260" s="1">
        <v>2022.0</v>
      </c>
      <c r="AV260" s="1">
        <v>14.0</v>
      </c>
      <c r="AW260" s="1">
        <v>2.0</v>
      </c>
      <c r="AX260" s="1" t="s">
        <v>74</v>
      </c>
      <c r="AY260" s="1" t="s">
        <v>74</v>
      </c>
      <c r="AZ260" s="1" t="s">
        <v>74</v>
      </c>
      <c r="BA260" s="1" t="s">
        <v>74</v>
      </c>
      <c r="BB260" s="1">
        <v>751.0</v>
      </c>
      <c r="BC260" s="1">
        <v>769.0</v>
      </c>
      <c r="BD260" s="1" t="s">
        <v>74</v>
      </c>
      <c r="BE260" s="1" t="s">
        <v>2839</v>
      </c>
      <c r="BF260" s="2" t="str">
        <f>HYPERLINK("http://dx.doi.org/10.1111/raq.12623","http://dx.doi.org/10.1111/raq.12623")</f>
        <v>http://dx.doi.org/10.1111/raq.12623</v>
      </c>
      <c r="BG260" s="1" t="s">
        <v>74</v>
      </c>
      <c r="BH260" s="1" t="s">
        <v>2840</v>
      </c>
      <c r="BI260" s="1" t="s">
        <v>74</v>
      </c>
      <c r="BJ260" s="1" t="s">
        <v>74</v>
      </c>
      <c r="BK260" s="1" t="s">
        <v>74</v>
      </c>
      <c r="BL260" s="1" t="s">
        <v>74</v>
      </c>
      <c r="BM260" s="1" t="s">
        <v>74</v>
      </c>
      <c r="BN260" s="1" t="s">
        <v>74</v>
      </c>
      <c r="BO260" s="1" t="s">
        <v>74</v>
      </c>
      <c r="BP260" s="1" t="s">
        <v>74</v>
      </c>
      <c r="BQ260" s="1" t="s">
        <v>74</v>
      </c>
      <c r="BR260" s="1" t="s">
        <v>74</v>
      </c>
      <c r="BS260" s="1" t="s">
        <v>2841</v>
      </c>
      <c r="BT260" s="1" t="str">
        <f>HYPERLINK("https%3A%2F%2Fwww.webofscience.com%2Fwos%2Fwoscc%2Ffull-record%2FWOS:000711131200001","View Full Record in Web of Science")</f>
        <v>View Full Record in Web of Science</v>
      </c>
    </row>
    <row r="261" ht="12.75" customHeight="1">
      <c r="A261" s="1" t="s">
        <v>72</v>
      </c>
      <c r="B261" s="1" t="s">
        <v>2842</v>
      </c>
      <c r="C261" s="1" t="s">
        <v>74</v>
      </c>
      <c r="D261" s="1" t="s">
        <v>74</v>
      </c>
      <c r="E261" s="1" t="s">
        <v>74</v>
      </c>
      <c r="F261" s="1" t="s">
        <v>2843</v>
      </c>
      <c r="G261" s="1" t="s">
        <v>74</v>
      </c>
      <c r="H261" s="1" t="s">
        <v>74</v>
      </c>
      <c r="I261" s="1" t="s">
        <v>2844</v>
      </c>
      <c r="J261" s="1" t="s">
        <v>2845</v>
      </c>
      <c r="K261" s="1" t="s">
        <v>74</v>
      </c>
      <c r="L261" s="1" t="s">
        <v>74</v>
      </c>
      <c r="M261" s="1" t="s">
        <v>74</v>
      </c>
      <c r="N261" s="1" t="s">
        <v>74</v>
      </c>
      <c r="O261" s="1" t="s">
        <v>74</v>
      </c>
      <c r="P261" s="1" t="s">
        <v>74</v>
      </c>
      <c r="Q261" s="1" t="s">
        <v>74</v>
      </c>
      <c r="R261" s="1" t="s">
        <v>74</v>
      </c>
      <c r="S261" s="1" t="s">
        <v>74</v>
      </c>
      <c r="T261" s="1" t="s">
        <v>74</v>
      </c>
      <c r="U261" s="1" t="s">
        <v>74</v>
      </c>
      <c r="V261" s="1" t="s">
        <v>2846</v>
      </c>
      <c r="W261" s="1" t="s">
        <v>74</v>
      </c>
      <c r="X261" s="1" t="s">
        <v>74</v>
      </c>
      <c r="Y261" s="1" t="s">
        <v>74</v>
      </c>
      <c r="Z261" s="1" t="s">
        <v>74</v>
      </c>
      <c r="AA261" s="1" t="s">
        <v>2847</v>
      </c>
      <c r="AB261" s="1" t="s">
        <v>2848</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2849</v>
      </c>
      <c r="AP261" s="1" t="s">
        <v>2850</v>
      </c>
      <c r="AQ261" s="1" t="s">
        <v>74</v>
      </c>
      <c r="AR261" s="1" t="s">
        <v>74</v>
      </c>
      <c r="AS261" s="1" t="s">
        <v>74</v>
      </c>
      <c r="AT261" s="1" t="s">
        <v>2851</v>
      </c>
      <c r="AU261" s="1">
        <v>2020.0</v>
      </c>
      <c r="AV261" s="1">
        <v>334.0</v>
      </c>
      <c r="AW261" s="1" t="s">
        <v>74</v>
      </c>
      <c r="AX261" s="1" t="s">
        <v>74</v>
      </c>
      <c r="AY261" s="1" t="s">
        <v>74</v>
      </c>
      <c r="AZ261" s="1" t="s">
        <v>74</v>
      </c>
      <c r="BA261" s="1" t="s">
        <v>74</v>
      </c>
      <c r="BB261" s="1" t="s">
        <v>74</v>
      </c>
      <c r="BC261" s="1" t="s">
        <v>74</v>
      </c>
      <c r="BD261" s="1">
        <v>135575.0</v>
      </c>
      <c r="BE261" s="1" t="s">
        <v>2852</v>
      </c>
      <c r="BF261" s="2" t="str">
        <f>HYPERLINK("http://dx.doi.org/10.1016/j.electacta.2019.135575","http://dx.doi.org/10.1016/j.electacta.2019.135575")</f>
        <v>http://dx.doi.org/10.1016/j.electacta.2019.135575</v>
      </c>
      <c r="BG261" s="1" t="s">
        <v>74</v>
      </c>
      <c r="BH261" s="1" t="s">
        <v>74</v>
      </c>
      <c r="BI261" s="1" t="s">
        <v>74</v>
      </c>
      <c r="BJ261" s="1" t="s">
        <v>74</v>
      </c>
      <c r="BK261" s="1" t="s">
        <v>74</v>
      </c>
      <c r="BL261" s="1" t="s">
        <v>74</v>
      </c>
      <c r="BM261" s="1" t="s">
        <v>74</v>
      </c>
      <c r="BN261" s="1" t="s">
        <v>74</v>
      </c>
      <c r="BO261" s="1" t="s">
        <v>74</v>
      </c>
      <c r="BP261" s="1" t="s">
        <v>74</v>
      </c>
      <c r="BQ261" s="1" t="s">
        <v>74</v>
      </c>
      <c r="BR261" s="1" t="s">
        <v>74</v>
      </c>
      <c r="BS261" s="1" t="s">
        <v>2853</v>
      </c>
      <c r="BT261" s="1" t="str">
        <f>HYPERLINK("https%3A%2F%2Fwww.webofscience.com%2Fwos%2Fwoscc%2Ffull-record%2FWOS:000508560000022","View Full Record in Web of Science")</f>
        <v>View Full Record in Web of Science</v>
      </c>
    </row>
    <row r="262" ht="12.75" customHeight="1">
      <c r="A262" s="1" t="s">
        <v>72</v>
      </c>
      <c r="B262" s="1" t="s">
        <v>2854</v>
      </c>
      <c r="C262" s="1" t="s">
        <v>74</v>
      </c>
      <c r="D262" s="1" t="s">
        <v>74</v>
      </c>
      <c r="E262" s="1" t="s">
        <v>74</v>
      </c>
      <c r="F262" s="1" t="s">
        <v>2855</v>
      </c>
      <c r="G262" s="1" t="s">
        <v>74</v>
      </c>
      <c r="H262" s="1" t="s">
        <v>74</v>
      </c>
      <c r="I262" s="1" t="s">
        <v>2856</v>
      </c>
      <c r="J262" s="1" t="s">
        <v>2857</v>
      </c>
      <c r="K262" s="1" t="s">
        <v>74</v>
      </c>
      <c r="L262" s="1" t="s">
        <v>74</v>
      </c>
      <c r="M262" s="1" t="s">
        <v>74</v>
      </c>
      <c r="N262" s="1" t="s">
        <v>74</v>
      </c>
      <c r="O262" s="1" t="s">
        <v>74</v>
      </c>
      <c r="P262" s="1" t="s">
        <v>74</v>
      </c>
      <c r="Q262" s="1" t="s">
        <v>74</v>
      </c>
      <c r="R262" s="1" t="s">
        <v>74</v>
      </c>
      <c r="S262" s="1" t="s">
        <v>74</v>
      </c>
      <c r="T262" s="1" t="s">
        <v>74</v>
      </c>
      <c r="U262" s="1" t="s">
        <v>74</v>
      </c>
      <c r="V262" s="1" t="s">
        <v>2858</v>
      </c>
      <c r="W262" s="1" t="s">
        <v>74</v>
      </c>
      <c r="X262" s="1" t="s">
        <v>74</v>
      </c>
      <c r="Y262" s="1" t="s">
        <v>74</v>
      </c>
      <c r="Z262" s="1" t="s">
        <v>74</v>
      </c>
      <c r="AA262" s="1" t="s">
        <v>2859</v>
      </c>
      <c r="AB262" s="1" t="s">
        <v>2860</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74</v>
      </c>
      <c r="AP262" s="1" t="s">
        <v>2861</v>
      </c>
      <c r="AQ262" s="1" t="s">
        <v>74</v>
      </c>
      <c r="AR262" s="1" t="s">
        <v>74</v>
      </c>
      <c r="AS262" s="1" t="s">
        <v>74</v>
      </c>
      <c r="AT262" s="1" t="s">
        <v>214</v>
      </c>
      <c r="AU262" s="1">
        <v>2025.0</v>
      </c>
      <c r="AV262" s="1">
        <v>43.0</v>
      </c>
      <c r="AW262" s="1" t="s">
        <v>74</v>
      </c>
      <c r="AX262" s="1" t="s">
        <v>74</v>
      </c>
      <c r="AY262" s="1" t="s">
        <v>74</v>
      </c>
      <c r="AZ262" s="1" t="s">
        <v>74</v>
      </c>
      <c r="BA262" s="1" t="s">
        <v>74</v>
      </c>
      <c r="BB262" s="1" t="s">
        <v>74</v>
      </c>
      <c r="BC262" s="1" t="s">
        <v>74</v>
      </c>
      <c r="BD262" s="1">
        <v>111628.0</v>
      </c>
      <c r="BE262" s="1" t="s">
        <v>2862</v>
      </c>
      <c r="BF262" s="2" t="str">
        <f>HYPERLINK("http://dx.doi.org/10.1016/j.mtcomm.2025.111628","http://dx.doi.org/10.1016/j.mtcomm.2025.111628")</f>
        <v>http://dx.doi.org/10.1016/j.mtcomm.2025.111628</v>
      </c>
      <c r="BG262" s="1" t="s">
        <v>74</v>
      </c>
      <c r="BH262" s="1" t="s">
        <v>74</v>
      </c>
      <c r="BI262" s="1" t="s">
        <v>74</v>
      </c>
      <c r="BJ262" s="1" t="s">
        <v>74</v>
      </c>
      <c r="BK262" s="1" t="s">
        <v>74</v>
      </c>
      <c r="BL262" s="1" t="s">
        <v>74</v>
      </c>
      <c r="BM262" s="1" t="s">
        <v>74</v>
      </c>
      <c r="BN262" s="1" t="s">
        <v>74</v>
      </c>
      <c r="BO262" s="1" t="s">
        <v>74</v>
      </c>
      <c r="BP262" s="1" t="s">
        <v>74</v>
      </c>
      <c r="BQ262" s="1" t="s">
        <v>74</v>
      </c>
      <c r="BR262" s="1" t="s">
        <v>74</v>
      </c>
      <c r="BS262" s="1" t="s">
        <v>2863</v>
      </c>
      <c r="BT262" s="1" t="str">
        <f>HYPERLINK("https%3A%2F%2Fwww.webofscience.com%2Fwos%2Fwoscc%2Ffull-record%2FWOS:001416802700001","View Full Record in Web of Science")</f>
        <v>View Full Record in Web of Science</v>
      </c>
    </row>
    <row r="263" ht="12.75" customHeight="1">
      <c r="A263" s="1" t="s">
        <v>72</v>
      </c>
      <c r="B263" s="1" t="s">
        <v>1266</v>
      </c>
      <c r="C263" s="1" t="s">
        <v>74</v>
      </c>
      <c r="D263" s="1" t="s">
        <v>74</v>
      </c>
      <c r="E263" s="1" t="s">
        <v>74</v>
      </c>
      <c r="F263" s="1" t="s">
        <v>1267</v>
      </c>
      <c r="G263" s="1" t="s">
        <v>74</v>
      </c>
      <c r="H263" s="1" t="s">
        <v>74</v>
      </c>
      <c r="I263" s="1" t="s">
        <v>2864</v>
      </c>
      <c r="J263" s="1" t="s">
        <v>1269</v>
      </c>
      <c r="K263" s="1" t="s">
        <v>74</v>
      </c>
      <c r="L263" s="1" t="s">
        <v>74</v>
      </c>
      <c r="M263" s="1" t="s">
        <v>74</v>
      </c>
      <c r="N263" s="1" t="s">
        <v>74</v>
      </c>
      <c r="O263" s="1" t="s">
        <v>74</v>
      </c>
      <c r="P263" s="1" t="s">
        <v>74</v>
      </c>
      <c r="Q263" s="1" t="s">
        <v>74</v>
      </c>
      <c r="R263" s="1" t="s">
        <v>74</v>
      </c>
      <c r="S263" s="1" t="s">
        <v>74</v>
      </c>
      <c r="T263" s="1" t="s">
        <v>74</v>
      </c>
      <c r="U263" s="1" t="s">
        <v>74</v>
      </c>
      <c r="V263" s="1" t="s">
        <v>2865</v>
      </c>
      <c r="W263" s="1" t="s">
        <v>74</v>
      </c>
      <c r="X263" s="1" t="s">
        <v>74</v>
      </c>
      <c r="Y263" s="1" t="s">
        <v>74</v>
      </c>
      <c r="Z263" s="1" t="s">
        <v>74</v>
      </c>
      <c r="AA263" s="1" t="s">
        <v>2866</v>
      </c>
      <c r="AB263" s="1" t="s">
        <v>2867</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1273</v>
      </c>
      <c r="AP263" s="1" t="s">
        <v>1274</v>
      </c>
      <c r="AQ263" s="1" t="s">
        <v>74</v>
      </c>
      <c r="AR263" s="1" t="s">
        <v>74</v>
      </c>
      <c r="AS263" s="1" t="s">
        <v>74</v>
      </c>
      <c r="AT263" s="1" t="s">
        <v>745</v>
      </c>
      <c r="AU263" s="1">
        <v>2024.0</v>
      </c>
      <c r="AV263" s="1">
        <v>129.0</v>
      </c>
      <c r="AW263" s="1">
        <v>7.0</v>
      </c>
      <c r="AX263" s="1" t="s">
        <v>74</v>
      </c>
      <c r="AY263" s="1" t="s">
        <v>74</v>
      </c>
      <c r="AZ263" s="1" t="s">
        <v>74</v>
      </c>
      <c r="BA263" s="1" t="s">
        <v>74</v>
      </c>
      <c r="BB263" s="1" t="s">
        <v>74</v>
      </c>
      <c r="BC263" s="1" t="s">
        <v>74</v>
      </c>
      <c r="BD263" s="1" t="s">
        <v>2868</v>
      </c>
      <c r="BE263" s="1" t="s">
        <v>2869</v>
      </c>
      <c r="BF263" s="2" t="str">
        <f>HYPERLINK("http://dx.doi.org/10.1029/2023JA031948","http://dx.doi.org/10.1029/2023JA031948")</f>
        <v>http://dx.doi.org/10.1029/2023JA031948</v>
      </c>
      <c r="BG263" s="1" t="s">
        <v>74</v>
      </c>
      <c r="BH263" s="1" t="s">
        <v>74</v>
      </c>
      <c r="BI263" s="1" t="s">
        <v>74</v>
      </c>
      <c r="BJ263" s="1" t="s">
        <v>74</v>
      </c>
      <c r="BK263" s="1" t="s">
        <v>74</v>
      </c>
      <c r="BL263" s="1" t="s">
        <v>74</v>
      </c>
      <c r="BM263" s="1" t="s">
        <v>74</v>
      </c>
      <c r="BN263" s="1" t="s">
        <v>74</v>
      </c>
      <c r="BO263" s="1" t="s">
        <v>74</v>
      </c>
      <c r="BP263" s="1" t="s">
        <v>74</v>
      </c>
      <c r="BQ263" s="1" t="s">
        <v>74</v>
      </c>
      <c r="BR263" s="1" t="s">
        <v>74</v>
      </c>
      <c r="BS263" s="1" t="s">
        <v>2870</v>
      </c>
      <c r="BT263" s="1" t="str">
        <f>HYPERLINK("https%3A%2F%2Fwww.webofscience.com%2Fwos%2Fwoscc%2Ffull-record%2FWOS:001258772400001","View Full Record in Web of Science")</f>
        <v>View Full Record in Web of Science</v>
      </c>
    </row>
    <row r="264" ht="12.75" customHeight="1">
      <c r="A264" s="1" t="s">
        <v>72</v>
      </c>
      <c r="B264" s="1" t="s">
        <v>2871</v>
      </c>
      <c r="C264" s="1" t="s">
        <v>74</v>
      </c>
      <c r="D264" s="1" t="s">
        <v>74</v>
      </c>
      <c r="E264" s="1" t="s">
        <v>74</v>
      </c>
      <c r="F264" s="1" t="s">
        <v>2872</v>
      </c>
      <c r="G264" s="1" t="s">
        <v>74</v>
      </c>
      <c r="H264" s="1" t="s">
        <v>74</v>
      </c>
      <c r="I264" s="1" t="s">
        <v>2873</v>
      </c>
      <c r="J264" s="1" t="s">
        <v>2874</v>
      </c>
      <c r="K264" s="1" t="s">
        <v>74</v>
      </c>
      <c r="L264" s="1" t="s">
        <v>74</v>
      </c>
      <c r="M264" s="1" t="s">
        <v>74</v>
      </c>
      <c r="N264" s="1" t="s">
        <v>74</v>
      </c>
      <c r="O264" s="1" t="s">
        <v>74</v>
      </c>
      <c r="P264" s="1" t="s">
        <v>74</v>
      </c>
      <c r="Q264" s="1" t="s">
        <v>74</v>
      </c>
      <c r="R264" s="1" t="s">
        <v>74</v>
      </c>
      <c r="S264" s="1" t="s">
        <v>74</v>
      </c>
      <c r="T264" s="1" t="s">
        <v>74</v>
      </c>
      <c r="U264" s="1" t="s">
        <v>74</v>
      </c>
      <c r="V264" s="1" t="s">
        <v>2875</v>
      </c>
      <c r="W264" s="1" t="s">
        <v>74</v>
      </c>
      <c r="X264" s="1" t="s">
        <v>74</v>
      </c>
      <c r="Y264" s="1" t="s">
        <v>74</v>
      </c>
      <c r="Z264" s="1" t="s">
        <v>74</v>
      </c>
      <c r="AA264" s="1" t="s">
        <v>2876</v>
      </c>
      <c r="AB264" s="1" t="s">
        <v>2877</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2878</v>
      </c>
      <c r="AP264" s="1" t="s">
        <v>74</v>
      </c>
      <c r="AQ264" s="1" t="s">
        <v>74</v>
      </c>
      <c r="AR264" s="1" t="s">
        <v>74</v>
      </c>
      <c r="AS264" s="1" t="s">
        <v>74</v>
      </c>
      <c r="AT264" s="1" t="s">
        <v>94</v>
      </c>
      <c r="AU264" s="1">
        <v>2023.0</v>
      </c>
      <c r="AV264" s="1">
        <v>19.0</v>
      </c>
      <c r="AW264" s="1" t="s">
        <v>74</v>
      </c>
      <c r="AX264" s="1" t="s">
        <v>74</v>
      </c>
      <c r="AY264" s="1" t="s">
        <v>74</v>
      </c>
      <c r="AZ264" s="1" t="s">
        <v>74</v>
      </c>
      <c r="BA264" s="1" t="s">
        <v>74</v>
      </c>
      <c r="BB264" s="1" t="s">
        <v>74</v>
      </c>
      <c r="BC264" s="1" t="s">
        <v>74</v>
      </c>
      <c r="BD264" s="1" t="s">
        <v>2879</v>
      </c>
      <c r="BE264" s="1" t="s">
        <v>2880</v>
      </c>
      <c r="BF264" s="2" t="str">
        <f>HYPERLINK("http://dx.doi.org/10.1016/j.cscm.2023.e02443","http://dx.doi.org/10.1016/j.cscm.2023.e02443")</f>
        <v>http://dx.doi.org/10.1016/j.cscm.2023.e02443</v>
      </c>
      <c r="BG264" s="1" t="s">
        <v>74</v>
      </c>
      <c r="BH264" s="1" t="s">
        <v>314</v>
      </c>
      <c r="BI264" s="1" t="s">
        <v>74</v>
      </c>
      <c r="BJ264" s="1" t="s">
        <v>74</v>
      </c>
      <c r="BK264" s="1" t="s">
        <v>74</v>
      </c>
      <c r="BL264" s="1" t="s">
        <v>74</v>
      </c>
      <c r="BM264" s="1" t="s">
        <v>74</v>
      </c>
      <c r="BN264" s="1" t="s">
        <v>74</v>
      </c>
      <c r="BO264" s="1" t="s">
        <v>74</v>
      </c>
      <c r="BP264" s="1" t="s">
        <v>74</v>
      </c>
      <c r="BQ264" s="1" t="s">
        <v>74</v>
      </c>
      <c r="BR264" s="1" t="s">
        <v>74</v>
      </c>
      <c r="BS264" s="1" t="s">
        <v>2881</v>
      </c>
      <c r="BT264" s="1" t="str">
        <f>HYPERLINK("https%3A%2F%2Fwww.webofscience.com%2Fwos%2Fwoscc%2Ffull-record%2FWOS:001077780100001","View Full Record in Web of Science")</f>
        <v>View Full Record in Web of Science</v>
      </c>
    </row>
    <row r="265" ht="12.75" customHeight="1">
      <c r="A265" s="1" t="s">
        <v>2882</v>
      </c>
      <c r="B265" s="1" t="s">
        <v>2883</v>
      </c>
      <c r="C265" s="1" t="s">
        <v>74</v>
      </c>
      <c r="D265" s="1" t="s">
        <v>2884</v>
      </c>
      <c r="E265" s="1" t="s">
        <v>74</v>
      </c>
      <c r="F265" s="1" t="s">
        <v>2885</v>
      </c>
      <c r="G265" s="1" t="s">
        <v>74</v>
      </c>
      <c r="H265" s="1" t="s">
        <v>74</v>
      </c>
      <c r="I265" s="1" t="s">
        <v>2886</v>
      </c>
      <c r="J265" s="1" t="s">
        <v>2887</v>
      </c>
      <c r="K265" s="1" t="s">
        <v>2888</v>
      </c>
      <c r="L265" s="1" t="s">
        <v>74</v>
      </c>
      <c r="M265" s="1" t="s">
        <v>74</v>
      </c>
      <c r="N265" s="1" t="s">
        <v>74</v>
      </c>
      <c r="O265" s="1" t="s">
        <v>74</v>
      </c>
      <c r="P265" s="1" t="s">
        <v>74</v>
      </c>
      <c r="Q265" s="1" t="s">
        <v>74</v>
      </c>
      <c r="R265" s="1" t="s">
        <v>74</v>
      </c>
      <c r="S265" s="1" t="s">
        <v>74</v>
      </c>
      <c r="T265" s="1" t="s">
        <v>74</v>
      </c>
      <c r="U265" s="1" t="s">
        <v>74</v>
      </c>
      <c r="V265" s="1" t="s">
        <v>74</v>
      </c>
      <c r="W265" s="1" t="s">
        <v>74</v>
      </c>
      <c r="X265" s="1" t="s">
        <v>74</v>
      </c>
      <c r="Y265" s="1" t="s">
        <v>74</v>
      </c>
      <c r="Z265" s="1" t="s">
        <v>74</v>
      </c>
      <c r="AA265" s="1" t="s">
        <v>2889</v>
      </c>
      <c r="AB265" s="1" t="s">
        <v>2890</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74</v>
      </c>
      <c r="AP265" s="1" t="s">
        <v>74</v>
      </c>
      <c r="AQ265" s="1" t="s">
        <v>2891</v>
      </c>
      <c r="AR265" s="1" t="s">
        <v>74</v>
      </c>
      <c r="AS265" s="1" t="s">
        <v>74</v>
      </c>
      <c r="AT265" s="1" t="s">
        <v>74</v>
      </c>
      <c r="AU265" s="1">
        <v>2023.0</v>
      </c>
      <c r="AV265" s="1" t="s">
        <v>74</v>
      </c>
      <c r="AW265" s="1" t="s">
        <v>74</v>
      </c>
      <c r="AX265" s="1" t="s">
        <v>74</v>
      </c>
      <c r="AY265" s="1" t="s">
        <v>74</v>
      </c>
      <c r="AZ265" s="1" t="s">
        <v>74</v>
      </c>
      <c r="BA265" s="1" t="s">
        <v>74</v>
      </c>
      <c r="BB265" s="1">
        <v>79.0</v>
      </c>
      <c r="BC265" s="1">
        <v>96.0</v>
      </c>
      <c r="BD265" s="1" t="s">
        <v>74</v>
      </c>
      <c r="BE265" s="1" t="s">
        <v>2892</v>
      </c>
      <c r="BF265" s="2" t="str">
        <f>HYPERLINK("http://dx.doi.org/10.4324/9781003109020-9","http://dx.doi.org/10.4324/9781003109020-9")</f>
        <v>http://dx.doi.org/10.4324/9781003109020-9</v>
      </c>
      <c r="BG265" s="1" t="s">
        <v>2893</v>
      </c>
      <c r="BH265" s="1" t="s">
        <v>74</v>
      </c>
      <c r="BI265" s="1" t="s">
        <v>74</v>
      </c>
      <c r="BJ265" s="1" t="s">
        <v>74</v>
      </c>
      <c r="BK265" s="1" t="s">
        <v>74</v>
      </c>
      <c r="BL265" s="1" t="s">
        <v>74</v>
      </c>
      <c r="BM265" s="1" t="s">
        <v>74</v>
      </c>
      <c r="BN265" s="1" t="s">
        <v>74</v>
      </c>
      <c r="BO265" s="1" t="s">
        <v>74</v>
      </c>
      <c r="BP265" s="1" t="s">
        <v>74</v>
      </c>
      <c r="BQ265" s="1" t="s">
        <v>74</v>
      </c>
      <c r="BR265" s="1" t="s">
        <v>74</v>
      </c>
      <c r="BS265" s="1" t="s">
        <v>2894</v>
      </c>
      <c r="BT265" s="1" t="str">
        <f>HYPERLINK("https%3A%2F%2Fwww.webofscience.com%2Fwos%2Fwoscc%2Ffull-record%2FWOS:001011285400006","View Full Record in Web of Science")</f>
        <v>View Full Record in Web of Science</v>
      </c>
    </row>
    <row r="266" ht="12.75" customHeight="1">
      <c r="A266" s="1" t="s">
        <v>72</v>
      </c>
      <c r="B266" s="1" t="s">
        <v>2895</v>
      </c>
      <c r="C266" s="1" t="s">
        <v>74</v>
      </c>
      <c r="D266" s="1" t="s">
        <v>74</v>
      </c>
      <c r="E266" s="1" t="s">
        <v>74</v>
      </c>
      <c r="F266" s="1" t="s">
        <v>2896</v>
      </c>
      <c r="G266" s="1" t="s">
        <v>74</v>
      </c>
      <c r="H266" s="1" t="s">
        <v>74</v>
      </c>
      <c r="I266" s="1" t="s">
        <v>2897</v>
      </c>
      <c r="J266" s="1" t="s">
        <v>2898</v>
      </c>
      <c r="K266" s="1" t="s">
        <v>74</v>
      </c>
      <c r="L266" s="1" t="s">
        <v>74</v>
      </c>
      <c r="M266" s="1" t="s">
        <v>74</v>
      </c>
      <c r="N266" s="1" t="s">
        <v>74</v>
      </c>
      <c r="O266" s="1" t="s">
        <v>74</v>
      </c>
      <c r="P266" s="1" t="s">
        <v>74</v>
      </c>
      <c r="Q266" s="1" t="s">
        <v>74</v>
      </c>
      <c r="R266" s="1" t="s">
        <v>74</v>
      </c>
      <c r="S266" s="1" t="s">
        <v>74</v>
      </c>
      <c r="T266" s="1" t="s">
        <v>74</v>
      </c>
      <c r="U266" s="1" t="s">
        <v>74</v>
      </c>
      <c r="V266" s="1" t="s">
        <v>2899</v>
      </c>
      <c r="W266" s="1" t="s">
        <v>74</v>
      </c>
      <c r="X266" s="1" t="s">
        <v>74</v>
      </c>
      <c r="Y266" s="1" t="s">
        <v>74</v>
      </c>
      <c r="Z266" s="1" t="s">
        <v>74</v>
      </c>
      <c r="AA266" s="1" t="s">
        <v>2900</v>
      </c>
      <c r="AB266" s="1" t="s">
        <v>2901</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2902</v>
      </c>
      <c r="AP266" s="1" t="s">
        <v>2903</v>
      </c>
      <c r="AQ266" s="1" t="s">
        <v>74</v>
      </c>
      <c r="AR266" s="1" t="s">
        <v>74</v>
      </c>
      <c r="AS266" s="1" t="s">
        <v>74</v>
      </c>
      <c r="AT266" s="1" t="s">
        <v>755</v>
      </c>
      <c r="AU266" s="1">
        <v>2021.0</v>
      </c>
      <c r="AV266" s="1">
        <v>2021.0</v>
      </c>
      <c r="AW266" s="1" t="s">
        <v>74</v>
      </c>
      <c r="AX266" s="1" t="s">
        <v>74</v>
      </c>
      <c r="AY266" s="1" t="s">
        <v>74</v>
      </c>
      <c r="AZ266" s="1" t="s">
        <v>74</v>
      </c>
      <c r="BA266" s="1" t="s">
        <v>74</v>
      </c>
      <c r="BB266" s="1" t="s">
        <v>74</v>
      </c>
      <c r="BC266" s="1" t="s">
        <v>74</v>
      </c>
      <c r="BD266" s="1">
        <v>9920416.0</v>
      </c>
      <c r="BE266" s="1" t="s">
        <v>2904</v>
      </c>
      <c r="BF266" s="2" t="str">
        <f>HYPERLINK("http://dx.doi.org/10.1155/2021/9920416","http://dx.doi.org/10.1155/2021/9920416")</f>
        <v>http://dx.doi.org/10.1155/2021/9920416</v>
      </c>
      <c r="BG266" s="1" t="s">
        <v>74</v>
      </c>
      <c r="BH266" s="1" t="s">
        <v>74</v>
      </c>
      <c r="BI266" s="1" t="s">
        <v>74</v>
      </c>
      <c r="BJ266" s="1" t="s">
        <v>74</v>
      </c>
      <c r="BK266" s="1" t="s">
        <v>74</v>
      </c>
      <c r="BL266" s="1" t="s">
        <v>74</v>
      </c>
      <c r="BM266" s="1" t="s">
        <v>74</v>
      </c>
      <c r="BN266" s="1">
        <v>3.4258301E7</v>
      </c>
      <c r="BO266" s="1" t="s">
        <v>74</v>
      </c>
      <c r="BP266" s="1" t="s">
        <v>74</v>
      </c>
      <c r="BQ266" s="1" t="s">
        <v>74</v>
      </c>
      <c r="BR266" s="1" t="s">
        <v>74</v>
      </c>
      <c r="BS266" s="1" t="s">
        <v>2905</v>
      </c>
      <c r="BT266" s="1" t="str">
        <f>HYPERLINK("https%3A%2F%2Fwww.webofscience.com%2Fwos%2Fwoscc%2Ffull-record%2FWOS:000671870500002","View Full Record in Web of Science")</f>
        <v>View Full Record in Web of Science</v>
      </c>
    </row>
    <row r="267" ht="12.75" customHeight="1">
      <c r="A267" s="1" t="s">
        <v>72</v>
      </c>
      <c r="B267" s="1" t="s">
        <v>2906</v>
      </c>
      <c r="C267" s="1" t="s">
        <v>74</v>
      </c>
      <c r="D267" s="1" t="s">
        <v>74</v>
      </c>
      <c r="E267" s="1" t="s">
        <v>74</v>
      </c>
      <c r="F267" s="1" t="s">
        <v>2907</v>
      </c>
      <c r="G267" s="1" t="s">
        <v>74</v>
      </c>
      <c r="H267" s="1" t="s">
        <v>74</v>
      </c>
      <c r="I267" s="1" t="s">
        <v>2908</v>
      </c>
      <c r="J267" s="1" t="s">
        <v>2909</v>
      </c>
      <c r="K267" s="1" t="s">
        <v>74</v>
      </c>
      <c r="L267" s="1" t="s">
        <v>74</v>
      </c>
      <c r="M267" s="1" t="s">
        <v>74</v>
      </c>
      <c r="N267" s="1" t="s">
        <v>74</v>
      </c>
      <c r="O267" s="1" t="s">
        <v>74</v>
      </c>
      <c r="P267" s="1" t="s">
        <v>74</v>
      </c>
      <c r="Q267" s="1" t="s">
        <v>74</v>
      </c>
      <c r="R267" s="1" t="s">
        <v>74</v>
      </c>
      <c r="S267" s="1" t="s">
        <v>74</v>
      </c>
      <c r="T267" s="1" t="s">
        <v>74</v>
      </c>
      <c r="U267" s="1" t="s">
        <v>74</v>
      </c>
      <c r="V267" s="1" t="s">
        <v>2910</v>
      </c>
      <c r="W267" s="1" t="s">
        <v>74</v>
      </c>
      <c r="X267" s="1" t="s">
        <v>74</v>
      </c>
      <c r="Y267" s="1" t="s">
        <v>74</v>
      </c>
      <c r="Z267" s="1" t="s">
        <v>74</v>
      </c>
      <c r="AA267" s="1" t="s">
        <v>2238</v>
      </c>
      <c r="AB267" s="1" t="s">
        <v>2911</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2912</v>
      </c>
      <c r="AP267" s="1" t="s">
        <v>74</v>
      </c>
      <c r="AQ267" s="1" t="s">
        <v>74</v>
      </c>
      <c r="AR267" s="1" t="s">
        <v>74</v>
      </c>
      <c r="AS267" s="1" t="s">
        <v>74</v>
      </c>
      <c r="AT267" s="1" t="s">
        <v>2913</v>
      </c>
      <c r="AU267" s="1">
        <v>2021.0</v>
      </c>
      <c r="AV267" s="1">
        <v>12.0</v>
      </c>
      <c r="AW267" s="1" t="s">
        <v>74</v>
      </c>
      <c r="AX267" s="1" t="s">
        <v>74</v>
      </c>
      <c r="AY267" s="1" t="s">
        <v>74</v>
      </c>
      <c r="AZ267" s="1" t="s">
        <v>74</v>
      </c>
      <c r="BA267" s="1" t="s">
        <v>74</v>
      </c>
      <c r="BB267" s="1" t="s">
        <v>74</v>
      </c>
      <c r="BC267" s="1" t="s">
        <v>74</v>
      </c>
      <c r="BD267" s="1">
        <v>650706.0</v>
      </c>
      <c r="BE267" s="1" t="s">
        <v>2914</v>
      </c>
      <c r="BF267" s="2" t="str">
        <f>HYPERLINK("http://dx.doi.org/10.3389/fpsyt.2021.650706","http://dx.doi.org/10.3389/fpsyt.2021.650706")</f>
        <v>http://dx.doi.org/10.3389/fpsyt.2021.650706</v>
      </c>
      <c r="BG267" s="1" t="s">
        <v>74</v>
      </c>
      <c r="BH267" s="1" t="s">
        <v>74</v>
      </c>
      <c r="BI267" s="1" t="s">
        <v>74</v>
      </c>
      <c r="BJ267" s="1" t="s">
        <v>74</v>
      </c>
      <c r="BK267" s="1" t="s">
        <v>74</v>
      </c>
      <c r="BL267" s="1" t="s">
        <v>74</v>
      </c>
      <c r="BM267" s="1" t="s">
        <v>74</v>
      </c>
      <c r="BN267" s="1">
        <v>3.3981259E7</v>
      </c>
      <c r="BO267" s="1" t="s">
        <v>74</v>
      </c>
      <c r="BP267" s="1" t="s">
        <v>74</v>
      </c>
      <c r="BQ267" s="1" t="s">
        <v>74</v>
      </c>
      <c r="BR267" s="1" t="s">
        <v>74</v>
      </c>
      <c r="BS267" s="1" t="s">
        <v>2915</v>
      </c>
      <c r="BT267" s="1" t="str">
        <f>HYPERLINK("https%3A%2F%2Fwww.webofscience.com%2Fwos%2Fwoscc%2Ffull-record%2FWOS:000648442900001","View Full Record in Web of Science")</f>
        <v>View Full Record in Web of Science</v>
      </c>
    </row>
    <row r="268" ht="12.75" customHeight="1">
      <c r="A268" s="1" t="s">
        <v>72</v>
      </c>
      <c r="B268" s="1" t="s">
        <v>2916</v>
      </c>
      <c r="C268" s="1" t="s">
        <v>74</v>
      </c>
      <c r="D268" s="1" t="s">
        <v>74</v>
      </c>
      <c r="E268" s="1" t="s">
        <v>74</v>
      </c>
      <c r="F268" s="1" t="s">
        <v>2917</v>
      </c>
      <c r="G268" s="1" t="s">
        <v>74</v>
      </c>
      <c r="H268" s="1" t="s">
        <v>74</v>
      </c>
      <c r="I268" s="1" t="s">
        <v>2918</v>
      </c>
      <c r="J268" s="1" t="s">
        <v>147</v>
      </c>
      <c r="K268" s="1" t="s">
        <v>74</v>
      </c>
      <c r="L268" s="1" t="s">
        <v>74</v>
      </c>
      <c r="M268" s="1" t="s">
        <v>74</v>
      </c>
      <c r="N268" s="1" t="s">
        <v>74</v>
      </c>
      <c r="O268" s="1" t="s">
        <v>74</v>
      </c>
      <c r="P268" s="1" t="s">
        <v>74</v>
      </c>
      <c r="Q268" s="1" t="s">
        <v>74</v>
      </c>
      <c r="R268" s="1" t="s">
        <v>74</v>
      </c>
      <c r="S268" s="1" t="s">
        <v>74</v>
      </c>
      <c r="T268" s="1" t="s">
        <v>74</v>
      </c>
      <c r="U268" s="1" t="s">
        <v>74</v>
      </c>
      <c r="V268" s="1" t="s">
        <v>2919</v>
      </c>
      <c r="W268" s="1" t="s">
        <v>74</v>
      </c>
      <c r="X268" s="1" t="s">
        <v>74</v>
      </c>
      <c r="Y268" s="1" t="s">
        <v>74</v>
      </c>
      <c r="Z268" s="1" t="s">
        <v>74</v>
      </c>
      <c r="AA268" s="1" t="s">
        <v>2920</v>
      </c>
      <c r="AB268" s="1" t="s">
        <v>2921</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151</v>
      </c>
      <c r="AP268" s="1" t="s">
        <v>74</v>
      </c>
      <c r="AQ268" s="1" t="s">
        <v>74</v>
      </c>
      <c r="AR268" s="1" t="s">
        <v>74</v>
      </c>
      <c r="AS268" s="1" t="s">
        <v>74</v>
      </c>
      <c r="AT268" s="1" t="s">
        <v>2922</v>
      </c>
      <c r="AU268" s="1">
        <v>2016.0</v>
      </c>
      <c r="AV268" s="1">
        <v>11.0</v>
      </c>
      <c r="AW268" s="1">
        <v>6.0</v>
      </c>
      <c r="AX268" s="1" t="s">
        <v>74</v>
      </c>
      <c r="AY268" s="1" t="s">
        <v>74</v>
      </c>
      <c r="AZ268" s="1" t="s">
        <v>74</v>
      </c>
      <c r="BA268" s="1" t="s">
        <v>74</v>
      </c>
      <c r="BB268" s="1" t="s">
        <v>74</v>
      </c>
      <c r="BC268" s="1" t="s">
        <v>74</v>
      </c>
      <c r="BD268" s="1" t="s">
        <v>2923</v>
      </c>
      <c r="BE268" s="1" t="s">
        <v>2924</v>
      </c>
      <c r="BF268" s="2" t="str">
        <f>HYPERLINK("http://dx.doi.org/10.1371/journal.pone.0157889","http://dx.doi.org/10.1371/journal.pone.0157889")</f>
        <v>http://dx.doi.org/10.1371/journal.pone.0157889</v>
      </c>
      <c r="BG268" s="1" t="s">
        <v>74</v>
      </c>
      <c r="BH268" s="1" t="s">
        <v>74</v>
      </c>
      <c r="BI268" s="1" t="s">
        <v>74</v>
      </c>
      <c r="BJ268" s="1" t="s">
        <v>74</v>
      </c>
      <c r="BK268" s="1" t="s">
        <v>74</v>
      </c>
      <c r="BL268" s="1" t="s">
        <v>74</v>
      </c>
      <c r="BM268" s="1" t="s">
        <v>74</v>
      </c>
      <c r="BN268" s="1">
        <v>2.7322617E7</v>
      </c>
      <c r="BO268" s="1" t="s">
        <v>74</v>
      </c>
      <c r="BP268" s="1" t="s">
        <v>74</v>
      </c>
      <c r="BQ268" s="1" t="s">
        <v>74</v>
      </c>
      <c r="BR268" s="1" t="s">
        <v>74</v>
      </c>
      <c r="BS268" s="1" t="s">
        <v>2925</v>
      </c>
      <c r="BT268" s="1" t="str">
        <f>HYPERLINK("https%3A%2F%2Fwww.webofscience.com%2Fwos%2Fwoscc%2Ffull-record%2FWOS:000378212000051","View Full Record in Web of Science")</f>
        <v>View Full Record in Web of Science</v>
      </c>
    </row>
    <row r="269" ht="12.75" customHeight="1">
      <c r="A269" s="1" t="s">
        <v>72</v>
      </c>
      <c r="B269" s="1" t="s">
        <v>2926</v>
      </c>
      <c r="C269" s="1" t="s">
        <v>74</v>
      </c>
      <c r="D269" s="1" t="s">
        <v>74</v>
      </c>
      <c r="E269" s="1" t="s">
        <v>74</v>
      </c>
      <c r="F269" s="1" t="s">
        <v>2927</v>
      </c>
      <c r="G269" s="1" t="s">
        <v>74</v>
      </c>
      <c r="H269" s="1" t="s">
        <v>74</v>
      </c>
      <c r="I269" s="1" t="s">
        <v>2928</v>
      </c>
      <c r="J269" s="1" t="s">
        <v>606</v>
      </c>
      <c r="K269" s="1" t="s">
        <v>74</v>
      </c>
      <c r="L269" s="1" t="s">
        <v>74</v>
      </c>
      <c r="M269" s="1" t="s">
        <v>74</v>
      </c>
      <c r="N269" s="1" t="s">
        <v>74</v>
      </c>
      <c r="O269" s="1" t="s">
        <v>74</v>
      </c>
      <c r="P269" s="1" t="s">
        <v>74</v>
      </c>
      <c r="Q269" s="1" t="s">
        <v>74</v>
      </c>
      <c r="R269" s="1" t="s">
        <v>74</v>
      </c>
      <c r="S269" s="1" t="s">
        <v>74</v>
      </c>
      <c r="T269" s="1" t="s">
        <v>74</v>
      </c>
      <c r="U269" s="1" t="s">
        <v>74</v>
      </c>
      <c r="V269" s="1" t="s">
        <v>2929</v>
      </c>
      <c r="W269" s="1" t="s">
        <v>74</v>
      </c>
      <c r="X269" s="1" t="s">
        <v>74</v>
      </c>
      <c r="Y269" s="1" t="s">
        <v>74</v>
      </c>
      <c r="Z269" s="1" t="s">
        <v>74</v>
      </c>
      <c r="AA269" s="1" t="s">
        <v>2930</v>
      </c>
      <c r="AB269" s="1" t="s">
        <v>2931</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610</v>
      </c>
      <c r="AP269" s="1" t="s">
        <v>74</v>
      </c>
      <c r="AQ269" s="1" t="s">
        <v>74</v>
      </c>
      <c r="AR269" s="1" t="s">
        <v>74</v>
      </c>
      <c r="AS269" s="1" t="s">
        <v>74</v>
      </c>
      <c r="AT269" s="1" t="s">
        <v>74</v>
      </c>
      <c r="AU269" s="1">
        <v>2015.0</v>
      </c>
      <c r="AV269" s="1">
        <v>5.0</v>
      </c>
      <c r="AW269" s="1">
        <v>22.0</v>
      </c>
      <c r="AX269" s="1" t="s">
        <v>74</v>
      </c>
      <c r="AY269" s="1" t="s">
        <v>74</v>
      </c>
      <c r="AZ269" s="1" t="s">
        <v>74</v>
      </c>
      <c r="BA269" s="1" t="s">
        <v>74</v>
      </c>
      <c r="BB269" s="1">
        <v>17117.0</v>
      </c>
      <c r="BC269" s="1">
        <v>17122.0</v>
      </c>
      <c r="BD269" s="1" t="s">
        <v>74</v>
      </c>
      <c r="BE269" s="1" t="s">
        <v>2932</v>
      </c>
      <c r="BF269" s="2" t="str">
        <f>HYPERLINK("http://dx.doi.org/10.1039/c4ra14960b","http://dx.doi.org/10.1039/c4ra14960b")</f>
        <v>http://dx.doi.org/10.1039/c4ra14960b</v>
      </c>
      <c r="BG269" s="1" t="s">
        <v>74</v>
      </c>
      <c r="BH269" s="1" t="s">
        <v>74</v>
      </c>
      <c r="BI269" s="1" t="s">
        <v>74</v>
      </c>
      <c r="BJ269" s="1" t="s">
        <v>74</v>
      </c>
      <c r="BK269" s="1" t="s">
        <v>74</v>
      </c>
      <c r="BL269" s="1" t="s">
        <v>74</v>
      </c>
      <c r="BM269" s="1" t="s">
        <v>74</v>
      </c>
      <c r="BN269" s="1" t="s">
        <v>74</v>
      </c>
      <c r="BO269" s="1" t="s">
        <v>74</v>
      </c>
      <c r="BP269" s="1" t="s">
        <v>74</v>
      </c>
      <c r="BQ269" s="1" t="s">
        <v>74</v>
      </c>
      <c r="BR269" s="1" t="s">
        <v>74</v>
      </c>
      <c r="BS269" s="1" t="s">
        <v>2933</v>
      </c>
      <c r="BT269" s="1" t="str">
        <f>HYPERLINK("https%3A%2F%2Fwww.webofscience.com%2Fwos%2Fwoscc%2Ffull-record%2FWOS:000349556700068","View Full Record in Web of Science")</f>
        <v>View Full Record in Web of Science</v>
      </c>
    </row>
    <row r="270" ht="12.75" customHeight="1">
      <c r="A270" s="1" t="s">
        <v>72</v>
      </c>
      <c r="B270" s="1" t="s">
        <v>2934</v>
      </c>
      <c r="C270" s="1" t="s">
        <v>74</v>
      </c>
      <c r="D270" s="1" t="s">
        <v>74</v>
      </c>
      <c r="E270" s="1" t="s">
        <v>74</v>
      </c>
      <c r="F270" s="1" t="s">
        <v>2935</v>
      </c>
      <c r="G270" s="1" t="s">
        <v>74</v>
      </c>
      <c r="H270" s="1" t="s">
        <v>74</v>
      </c>
      <c r="I270" s="1" t="s">
        <v>2936</v>
      </c>
      <c r="J270" s="1" t="s">
        <v>2937</v>
      </c>
      <c r="K270" s="1" t="s">
        <v>74</v>
      </c>
      <c r="L270" s="1" t="s">
        <v>74</v>
      </c>
      <c r="M270" s="1" t="s">
        <v>74</v>
      </c>
      <c r="N270" s="1" t="s">
        <v>74</v>
      </c>
      <c r="O270" s="1" t="s">
        <v>74</v>
      </c>
      <c r="P270" s="1" t="s">
        <v>74</v>
      </c>
      <c r="Q270" s="1" t="s">
        <v>74</v>
      </c>
      <c r="R270" s="1" t="s">
        <v>74</v>
      </c>
      <c r="S270" s="1" t="s">
        <v>74</v>
      </c>
      <c r="T270" s="1" t="s">
        <v>74</v>
      </c>
      <c r="U270" s="1" t="s">
        <v>74</v>
      </c>
      <c r="V270" s="1" t="s">
        <v>2938</v>
      </c>
      <c r="W270" s="1" t="s">
        <v>74</v>
      </c>
      <c r="X270" s="1" t="s">
        <v>74</v>
      </c>
      <c r="Y270" s="1" t="s">
        <v>74</v>
      </c>
      <c r="Z270" s="1" t="s">
        <v>74</v>
      </c>
      <c r="AA270" s="1" t="s">
        <v>2939</v>
      </c>
      <c r="AB270" s="1" t="s">
        <v>2940</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2941</v>
      </c>
      <c r="AP270" s="1" t="s">
        <v>2942</v>
      </c>
      <c r="AQ270" s="1" t="s">
        <v>74</v>
      </c>
      <c r="AR270" s="1" t="s">
        <v>74</v>
      </c>
      <c r="AS270" s="1" t="s">
        <v>74</v>
      </c>
      <c r="AT270" s="1" t="s">
        <v>74</v>
      </c>
      <c r="AU270" s="1">
        <v>2011.0</v>
      </c>
      <c r="AV270" s="1">
        <v>2011.0</v>
      </c>
      <c r="AW270" s="1" t="s">
        <v>74</v>
      </c>
      <c r="AX270" s="1" t="s">
        <v>74</v>
      </c>
      <c r="AY270" s="1" t="s">
        <v>74</v>
      </c>
      <c r="AZ270" s="1" t="s">
        <v>74</v>
      </c>
      <c r="BA270" s="1" t="s">
        <v>74</v>
      </c>
      <c r="BB270" s="1" t="s">
        <v>74</v>
      </c>
      <c r="BC270" s="1" t="s">
        <v>74</v>
      </c>
      <c r="BD270" s="1">
        <v>152625.0</v>
      </c>
      <c r="BE270" s="1" t="s">
        <v>2943</v>
      </c>
      <c r="BF270" s="2" t="str">
        <f>HYPERLINK("http://dx.doi.org/10.1155/2011/152625","http://dx.doi.org/10.1155/2011/152625")</f>
        <v>http://dx.doi.org/10.1155/2011/152625</v>
      </c>
      <c r="BG270" s="1" t="s">
        <v>74</v>
      </c>
      <c r="BH270" s="1" t="s">
        <v>74</v>
      </c>
      <c r="BI270" s="1" t="s">
        <v>74</v>
      </c>
      <c r="BJ270" s="1" t="s">
        <v>74</v>
      </c>
      <c r="BK270" s="1" t="s">
        <v>74</v>
      </c>
      <c r="BL270" s="1" t="s">
        <v>74</v>
      </c>
      <c r="BM270" s="1" t="s">
        <v>74</v>
      </c>
      <c r="BN270" s="1">
        <v>2.194141E7</v>
      </c>
      <c r="BO270" s="1" t="s">
        <v>74</v>
      </c>
      <c r="BP270" s="1" t="s">
        <v>74</v>
      </c>
      <c r="BQ270" s="1" t="s">
        <v>74</v>
      </c>
      <c r="BR270" s="1" t="s">
        <v>74</v>
      </c>
      <c r="BS270" s="1" t="s">
        <v>2944</v>
      </c>
      <c r="BT270" s="1" t="str">
        <f>HYPERLINK("https%3A%2F%2Fwww.webofscience.com%2Fwos%2Fwoscc%2Ffull-record%2FWOS:000296818700001","View Full Record in Web of Science")</f>
        <v>View Full Record in Web of Science</v>
      </c>
    </row>
    <row r="271" ht="12.75" customHeight="1">
      <c r="A271" s="1" t="s">
        <v>72</v>
      </c>
      <c r="B271" s="1" t="s">
        <v>2945</v>
      </c>
      <c r="C271" s="1" t="s">
        <v>74</v>
      </c>
      <c r="D271" s="1" t="s">
        <v>74</v>
      </c>
      <c r="E271" s="1" t="s">
        <v>74</v>
      </c>
      <c r="F271" s="1" t="s">
        <v>2946</v>
      </c>
      <c r="G271" s="1" t="s">
        <v>74</v>
      </c>
      <c r="H271" s="1" t="s">
        <v>74</v>
      </c>
      <c r="I271" s="1" t="s">
        <v>2947</v>
      </c>
      <c r="J271" s="1" t="s">
        <v>480</v>
      </c>
      <c r="K271" s="1" t="s">
        <v>74</v>
      </c>
      <c r="L271" s="1" t="s">
        <v>74</v>
      </c>
      <c r="M271" s="1" t="s">
        <v>74</v>
      </c>
      <c r="N271" s="1" t="s">
        <v>74</v>
      </c>
      <c r="O271" s="1" t="s">
        <v>74</v>
      </c>
      <c r="P271" s="1" t="s">
        <v>74</v>
      </c>
      <c r="Q271" s="1" t="s">
        <v>74</v>
      </c>
      <c r="R271" s="1" t="s">
        <v>74</v>
      </c>
      <c r="S271" s="1" t="s">
        <v>74</v>
      </c>
      <c r="T271" s="1" t="s">
        <v>74</v>
      </c>
      <c r="U271" s="1" t="s">
        <v>74</v>
      </c>
      <c r="V271" s="1" t="s">
        <v>2948</v>
      </c>
      <c r="W271" s="1" t="s">
        <v>74</v>
      </c>
      <c r="X271" s="1" t="s">
        <v>74</v>
      </c>
      <c r="Y271" s="1" t="s">
        <v>74</v>
      </c>
      <c r="Z271" s="1" t="s">
        <v>74</v>
      </c>
      <c r="AA271" s="1" t="s">
        <v>2949</v>
      </c>
      <c r="AB271" s="1" t="s">
        <v>2950</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484</v>
      </c>
      <c r="AP271" s="1" t="s">
        <v>74</v>
      </c>
      <c r="AQ271" s="1" t="s">
        <v>74</v>
      </c>
      <c r="AR271" s="1" t="s">
        <v>74</v>
      </c>
      <c r="AS271" s="1" t="s">
        <v>74</v>
      </c>
      <c r="AT271" s="1" t="s">
        <v>2951</v>
      </c>
      <c r="AU271" s="1">
        <v>2022.0</v>
      </c>
      <c r="AV271" s="1">
        <v>12.0</v>
      </c>
      <c r="AW271" s="1">
        <v>1.0</v>
      </c>
      <c r="AX271" s="1" t="s">
        <v>74</v>
      </c>
      <c r="AY271" s="1" t="s">
        <v>74</v>
      </c>
      <c r="AZ271" s="1" t="s">
        <v>74</v>
      </c>
      <c r="BA271" s="1" t="s">
        <v>74</v>
      </c>
      <c r="BB271" s="1" t="s">
        <v>74</v>
      </c>
      <c r="BC271" s="1" t="s">
        <v>74</v>
      </c>
      <c r="BD271" s="1">
        <v>710.0</v>
      </c>
      <c r="BE271" s="1" t="s">
        <v>2952</v>
      </c>
      <c r="BF271" s="2" t="str">
        <f>HYPERLINK("http://dx.doi.org/10.1038/s41598-021-04414-1","http://dx.doi.org/10.1038/s41598-021-04414-1")</f>
        <v>http://dx.doi.org/10.1038/s41598-021-04414-1</v>
      </c>
      <c r="BG271" s="1" t="s">
        <v>74</v>
      </c>
      <c r="BH271" s="1" t="s">
        <v>74</v>
      </c>
      <c r="BI271" s="1" t="s">
        <v>74</v>
      </c>
      <c r="BJ271" s="1" t="s">
        <v>74</v>
      </c>
      <c r="BK271" s="1" t="s">
        <v>74</v>
      </c>
      <c r="BL271" s="1" t="s">
        <v>74</v>
      </c>
      <c r="BM271" s="1" t="s">
        <v>74</v>
      </c>
      <c r="BN271" s="1">
        <v>3.5027596E7</v>
      </c>
      <c r="BO271" s="1" t="s">
        <v>74</v>
      </c>
      <c r="BP271" s="1" t="s">
        <v>74</v>
      </c>
      <c r="BQ271" s="1" t="s">
        <v>74</v>
      </c>
      <c r="BR271" s="1" t="s">
        <v>74</v>
      </c>
      <c r="BS271" s="1" t="s">
        <v>2953</v>
      </c>
      <c r="BT271" s="1" t="str">
        <f>HYPERLINK("https%3A%2F%2Fwww.webofscience.com%2Fwos%2Fwoscc%2Ffull-record%2FWOS:000742412100026","View Full Record in Web of Science")</f>
        <v>View Full Record in Web of Science</v>
      </c>
    </row>
    <row r="272" ht="12.75" customHeight="1">
      <c r="A272" s="1" t="s">
        <v>2882</v>
      </c>
      <c r="B272" s="1" t="s">
        <v>2954</v>
      </c>
      <c r="C272" s="1" t="s">
        <v>74</v>
      </c>
      <c r="D272" s="1" t="s">
        <v>2955</v>
      </c>
      <c r="E272" s="1" t="s">
        <v>74</v>
      </c>
      <c r="F272" s="1" t="s">
        <v>2956</v>
      </c>
      <c r="G272" s="1" t="s">
        <v>74</v>
      </c>
      <c r="H272" s="1" t="s">
        <v>74</v>
      </c>
      <c r="I272" s="1" t="s">
        <v>2957</v>
      </c>
      <c r="J272" s="1" t="s">
        <v>2958</v>
      </c>
      <c r="K272" s="1" t="s">
        <v>74</v>
      </c>
      <c r="L272" s="1" t="s">
        <v>74</v>
      </c>
      <c r="M272" s="1" t="s">
        <v>74</v>
      </c>
      <c r="N272" s="1" t="s">
        <v>74</v>
      </c>
      <c r="O272" s="1" t="s">
        <v>74</v>
      </c>
      <c r="P272" s="1" t="s">
        <v>74</v>
      </c>
      <c r="Q272" s="1" t="s">
        <v>74</v>
      </c>
      <c r="R272" s="1" t="s">
        <v>74</v>
      </c>
      <c r="S272" s="1" t="s">
        <v>74</v>
      </c>
      <c r="T272" s="1" t="s">
        <v>74</v>
      </c>
      <c r="U272" s="1" t="s">
        <v>74</v>
      </c>
      <c r="V272" s="1" t="s">
        <v>2959</v>
      </c>
      <c r="W272" s="1" t="s">
        <v>74</v>
      </c>
      <c r="X272" s="1" t="s">
        <v>74</v>
      </c>
      <c r="Y272" s="1" t="s">
        <v>74</v>
      </c>
      <c r="Z272" s="1" t="s">
        <v>74</v>
      </c>
      <c r="AA272" s="1" t="s">
        <v>2960</v>
      </c>
      <c r="AB272" s="1" t="s">
        <v>74</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74</v>
      </c>
      <c r="AP272" s="1" t="s">
        <v>74</v>
      </c>
      <c r="AQ272" s="1" t="s">
        <v>2961</v>
      </c>
      <c r="AR272" s="1" t="s">
        <v>74</v>
      </c>
      <c r="AS272" s="1" t="s">
        <v>74</v>
      </c>
      <c r="AT272" s="1" t="s">
        <v>74</v>
      </c>
      <c r="AU272" s="1">
        <v>2021.0</v>
      </c>
      <c r="AV272" s="1" t="s">
        <v>74</v>
      </c>
      <c r="AW272" s="1" t="s">
        <v>74</v>
      </c>
      <c r="AX272" s="1" t="s">
        <v>74</v>
      </c>
      <c r="AY272" s="1" t="s">
        <v>74</v>
      </c>
      <c r="AZ272" s="1" t="s">
        <v>74</v>
      </c>
      <c r="BA272" s="1" t="s">
        <v>74</v>
      </c>
      <c r="BB272" s="1">
        <v>137.0</v>
      </c>
      <c r="BC272" s="1">
        <v>167.0</v>
      </c>
      <c r="BD272" s="1" t="s">
        <v>74</v>
      </c>
      <c r="BE272" s="1" t="s">
        <v>74</v>
      </c>
      <c r="BF272" s="1" t="s">
        <v>74</v>
      </c>
      <c r="BG272" s="1" t="s">
        <v>2962</v>
      </c>
      <c r="BH272" s="1" t="s">
        <v>74</v>
      </c>
      <c r="BI272" s="1" t="s">
        <v>74</v>
      </c>
      <c r="BJ272" s="1" t="s">
        <v>74</v>
      </c>
      <c r="BK272" s="1" t="s">
        <v>74</v>
      </c>
      <c r="BL272" s="1" t="s">
        <v>74</v>
      </c>
      <c r="BM272" s="1" t="s">
        <v>74</v>
      </c>
      <c r="BN272" s="1" t="s">
        <v>74</v>
      </c>
      <c r="BO272" s="1" t="s">
        <v>74</v>
      </c>
      <c r="BP272" s="1" t="s">
        <v>74</v>
      </c>
      <c r="BQ272" s="1" t="s">
        <v>74</v>
      </c>
      <c r="BR272" s="1" t="s">
        <v>74</v>
      </c>
      <c r="BS272" s="1" t="s">
        <v>2963</v>
      </c>
      <c r="BT272" s="1" t="str">
        <f>HYPERLINK("https%3A%2F%2Fwww.webofscience.com%2Fwos%2Fwoscc%2Ffull-record%2FWOS:000762368600006","View Full Record in Web of Science")</f>
        <v>View Full Record in Web of Science</v>
      </c>
    </row>
    <row r="273" ht="12.75" customHeight="1">
      <c r="A273" s="1" t="s">
        <v>72</v>
      </c>
      <c r="B273" s="1" t="s">
        <v>2964</v>
      </c>
      <c r="C273" s="1" t="s">
        <v>74</v>
      </c>
      <c r="D273" s="1" t="s">
        <v>74</v>
      </c>
      <c r="E273" s="1" t="s">
        <v>74</v>
      </c>
      <c r="F273" s="1" t="s">
        <v>2965</v>
      </c>
      <c r="G273" s="1" t="s">
        <v>74</v>
      </c>
      <c r="H273" s="1" t="s">
        <v>74</v>
      </c>
      <c r="I273" s="1" t="s">
        <v>2966</v>
      </c>
      <c r="J273" s="1" t="s">
        <v>2967</v>
      </c>
      <c r="K273" s="1" t="s">
        <v>74</v>
      </c>
      <c r="L273" s="1" t="s">
        <v>74</v>
      </c>
      <c r="M273" s="1" t="s">
        <v>74</v>
      </c>
      <c r="N273" s="1" t="s">
        <v>74</v>
      </c>
      <c r="O273" s="1" t="s">
        <v>74</v>
      </c>
      <c r="P273" s="1" t="s">
        <v>74</v>
      </c>
      <c r="Q273" s="1" t="s">
        <v>74</v>
      </c>
      <c r="R273" s="1" t="s">
        <v>74</v>
      </c>
      <c r="S273" s="1" t="s">
        <v>74</v>
      </c>
      <c r="T273" s="1" t="s">
        <v>74</v>
      </c>
      <c r="U273" s="1" t="s">
        <v>74</v>
      </c>
      <c r="V273" s="1" t="s">
        <v>2968</v>
      </c>
      <c r="W273" s="1" t="s">
        <v>74</v>
      </c>
      <c r="X273" s="1" t="s">
        <v>74</v>
      </c>
      <c r="Y273" s="1" t="s">
        <v>74</v>
      </c>
      <c r="Z273" s="1" t="s">
        <v>74</v>
      </c>
      <c r="AA273" s="1" t="s">
        <v>2969</v>
      </c>
      <c r="AB273" s="1" t="s">
        <v>2970</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2971</v>
      </c>
      <c r="AP273" s="1" t="s">
        <v>2972</v>
      </c>
      <c r="AQ273" s="1" t="s">
        <v>74</v>
      </c>
      <c r="AR273" s="1" t="s">
        <v>74</v>
      </c>
      <c r="AS273" s="1" t="s">
        <v>74</v>
      </c>
      <c r="AT273" s="1" t="s">
        <v>2973</v>
      </c>
      <c r="AU273" s="1">
        <v>2019.0</v>
      </c>
      <c r="AV273" s="1">
        <v>123.0</v>
      </c>
      <c r="AW273" s="1">
        <v>42.0</v>
      </c>
      <c r="AX273" s="1" t="s">
        <v>74</v>
      </c>
      <c r="AY273" s="1" t="s">
        <v>74</v>
      </c>
      <c r="AZ273" s="1" t="s">
        <v>74</v>
      </c>
      <c r="BA273" s="1" t="s">
        <v>74</v>
      </c>
      <c r="BB273" s="1">
        <v>25844.0</v>
      </c>
      <c r="BC273" s="1">
        <v>25855.0</v>
      </c>
      <c r="BD273" s="1" t="s">
        <v>74</v>
      </c>
      <c r="BE273" s="1" t="s">
        <v>2974</v>
      </c>
      <c r="BF273" s="2" t="str">
        <f>HYPERLINK("http://dx.doi.org/10.1021/acs.jpcc.9b07076","http://dx.doi.org/10.1021/acs.jpcc.9b07076")</f>
        <v>http://dx.doi.org/10.1021/acs.jpcc.9b07076</v>
      </c>
      <c r="BG273" s="1" t="s">
        <v>74</v>
      </c>
      <c r="BH273" s="1" t="s">
        <v>74</v>
      </c>
      <c r="BI273" s="1" t="s">
        <v>74</v>
      </c>
      <c r="BJ273" s="1" t="s">
        <v>74</v>
      </c>
      <c r="BK273" s="1" t="s">
        <v>74</v>
      </c>
      <c r="BL273" s="1" t="s">
        <v>74</v>
      </c>
      <c r="BM273" s="1" t="s">
        <v>74</v>
      </c>
      <c r="BN273" s="1" t="s">
        <v>74</v>
      </c>
      <c r="BO273" s="1" t="s">
        <v>74</v>
      </c>
      <c r="BP273" s="1" t="s">
        <v>74</v>
      </c>
      <c r="BQ273" s="1" t="s">
        <v>74</v>
      </c>
      <c r="BR273" s="1" t="s">
        <v>74</v>
      </c>
      <c r="BS273" s="1" t="s">
        <v>2975</v>
      </c>
      <c r="BT273" s="1" t="str">
        <f>HYPERLINK("https%3A%2F%2Fwww.webofscience.com%2Fwos%2Fwoscc%2Ffull-record%2FWOS:000492803300036","View Full Record in Web of Science")</f>
        <v>View Full Record in Web of Science</v>
      </c>
    </row>
    <row r="274" ht="12.75" customHeight="1">
      <c r="A274" s="1" t="s">
        <v>72</v>
      </c>
      <c r="B274" s="1" t="s">
        <v>2976</v>
      </c>
      <c r="C274" s="1" t="s">
        <v>74</v>
      </c>
      <c r="D274" s="1" t="s">
        <v>74</v>
      </c>
      <c r="E274" s="1" t="s">
        <v>74</v>
      </c>
      <c r="F274" s="1" t="s">
        <v>2977</v>
      </c>
      <c r="G274" s="1" t="s">
        <v>74</v>
      </c>
      <c r="H274" s="1" t="s">
        <v>74</v>
      </c>
      <c r="I274" s="1" t="s">
        <v>2978</v>
      </c>
      <c r="J274" s="1" t="s">
        <v>1561</v>
      </c>
      <c r="K274" s="1" t="s">
        <v>74</v>
      </c>
      <c r="L274" s="1" t="s">
        <v>74</v>
      </c>
      <c r="M274" s="1" t="s">
        <v>74</v>
      </c>
      <c r="N274" s="1" t="s">
        <v>74</v>
      </c>
      <c r="O274" s="1" t="s">
        <v>74</v>
      </c>
      <c r="P274" s="1" t="s">
        <v>74</v>
      </c>
      <c r="Q274" s="1" t="s">
        <v>74</v>
      </c>
      <c r="R274" s="1" t="s">
        <v>74</v>
      </c>
      <c r="S274" s="1" t="s">
        <v>74</v>
      </c>
      <c r="T274" s="1" t="s">
        <v>74</v>
      </c>
      <c r="U274" s="1" t="s">
        <v>74</v>
      </c>
      <c r="V274" s="1" t="s">
        <v>2979</v>
      </c>
      <c r="W274" s="1" t="s">
        <v>74</v>
      </c>
      <c r="X274" s="1" t="s">
        <v>74</v>
      </c>
      <c r="Y274" s="1" t="s">
        <v>74</v>
      </c>
      <c r="Z274" s="1" t="s">
        <v>74</v>
      </c>
      <c r="AA274" s="1" t="s">
        <v>2980</v>
      </c>
      <c r="AB274" s="1" t="s">
        <v>2981</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1565</v>
      </c>
      <c r="AP274" s="1" t="s">
        <v>74</v>
      </c>
      <c r="AQ274" s="1" t="s">
        <v>74</v>
      </c>
      <c r="AR274" s="1" t="s">
        <v>74</v>
      </c>
      <c r="AS274" s="1" t="s">
        <v>74</v>
      </c>
      <c r="AT274" s="1" t="s">
        <v>2982</v>
      </c>
      <c r="AU274" s="1">
        <v>2018.0</v>
      </c>
      <c r="AV274" s="1">
        <v>9.0</v>
      </c>
      <c r="AW274" s="1" t="s">
        <v>74</v>
      </c>
      <c r="AX274" s="1" t="s">
        <v>74</v>
      </c>
      <c r="AY274" s="1" t="s">
        <v>74</v>
      </c>
      <c r="AZ274" s="1" t="s">
        <v>74</v>
      </c>
      <c r="BA274" s="1" t="s">
        <v>74</v>
      </c>
      <c r="BB274" s="1" t="s">
        <v>74</v>
      </c>
      <c r="BC274" s="1" t="s">
        <v>74</v>
      </c>
      <c r="BD274" s="1">
        <v>1883.0</v>
      </c>
      <c r="BE274" s="1" t="s">
        <v>2983</v>
      </c>
      <c r="BF274" s="2" t="str">
        <f>HYPERLINK("http://dx.doi.org/10.3389/fimmu.2018.016813","http://dx.doi.org/10.3389/fimmu.2018.016813")</f>
        <v>http://dx.doi.org/10.3389/fimmu.2018.016813</v>
      </c>
      <c r="BG274" s="1" t="s">
        <v>74</v>
      </c>
      <c r="BH274" s="1" t="s">
        <v>74</v>
      </c>
      <c r="BI274" s="1" t="s">
        <v>74</v>
      </c>
      <c r="BJ274" s="1" t="s">
        <v>74</v>
      </c>
      <c r="BK274" s="1" t="s">
        <v>74</v>
      </c>
      <c r="BL274" s="1" t="s">
        <v>74</v>
      </c>
      <c r="BM274" s="1" t="s">
        <v>74</v>
      </c>
      <c r="BN274" s="1" t="s">
        <v>74</v>
      </c>
      <c r="BO274" s="1" t="s">
        <v>74</v>
      </c>
      <c r="BP274" s="1" t="s">
        <v>74</v>
      </c>
      <c r="BQ274" s="1" t="s">
        <v>74</v>
      </c>
      <c r="BR274" s="1" t="s">
        <v>74</v>
      </c>
      <c r="BS274" s="1" t="s">
        <v>2984</v>
      </c>
      <c r="BT274" s="1" t="str">
        <f>HYPERLINK("https%3A%2F%2Fwww.webofscience.com%2Fwos%2Fwoscc%2Ffull-record%2FWOS:000439846000001","View Full Record in Web of Science")</f>
        <v>View Full Record in Web of Science</v>
      </c>
    </row>
    <row r="275" ht="12.75" customHeight="1">
      <c r="A275" s="1" t="s">
        <v>72</v>
      </c>
      <c r="B275" s="1" t="s">
        <v>2985</v>
      </c>
      <c r="C275" s="1" t="s">
        <v>74</v>
      </c>
      <c r="D275" s="1" t="s">
        <v>74</v>
      </c>
      <c r="E275" s="1" t="s">
        <v>74</v>
      </c>
      <c r="F275" s="1" t="s">
        <v>2986</v>
      </c>
      <c r="G275" s="1" t="s">
        <v>74</v>
      </c>
      <c r="H275" s="1" t="s">
        <v>74</v>
      </c>
      <c r="I275" s="1" t="s">
        <v>2987</v>
      </c>
      <c r="J275" s="1" t="s">
        <v>2988</v>
      </c>
      <c r="K275" s="1" t="s">
        <v>74</v>
      </c>
      <c r="L275" s="1" t="s">
        <v>74</v>
      </c>
      <c r="M275" s="1" t="s">
        <v>74</v>
      </c>
      <c r="N275" s="1" t="s">
        <v>74</v>
      </c>
      <c r="O275" s="1" t="s">
        <v>74</v>
      </c>
      <c r="P275" s="1" t="s">
        <v>74</v>
      </c>
      <c r="Q275" s="1" t="s">
        <v>74</v>
      </c>
      <c r="R275" s="1" t="s">
        <v>74</v>
      </c>
      <c r="S275" s="1" t="s">
        <v>74</v>
      </c>
      <c r="T275" s="1" t="s">
        <v>74</v>
      </c>
      <c r="U275" s="1" t="s">
        <v>74</v>
      </c>
      <c r="V275" s="1" t="s">
        <v>2989</v>
      </c>
      <c r="W275" s="1" t="s">
        <v>74</v>
      </c>
      <c r="X275" s="1" t="s">
        <v>74</v>
      </c>
      <c r="Y275" s="1" t="s">
        <v>74</v>
      </c>
      <c r="Z275" s="1" t="s">
        <v>74</v>
      </c>
      <c r="AA275" s="1" t="s">
        <v>2990</v>
      </c>
      <c r="AB275" s="1" t="s">
        <v>2991</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2992</v>
      </c>
      <c r="AP275" s="1" t="s">
        <v>2993</v>
      </c>
      <c r="AQ275" s="1" t="s">
        <v>74</v>
      </c>
      <c r="AR275" s="1" t="s">
        <v>74</v>
      </c>
      <c r="AS275" s="1" t="s">
        <v>74</v>
      </c>
      <c r="AT275" s="1" t="s">
        <v>334</v>
      </c>
      <c r="AU275" s="1">
        <v>2023.0</v>
      </c>
      <c r="AV275" s="1">
        <v>99.0</v>
      </c>
      <c r="AW275" s="1" t="s">
        <v>74</v>
      </c>
      <c r="AX275" s="1" t="s">
        <v>74</v>
      </c>
      <c r="AY275" s="1" t="s">
        <v>74</v>
      </c>
      <c r="AZ275" s="1" t="s">
        <v>74</v>
      </c>
      <c r="BA275" s="1" t="s">
        <v>74</v>
      </c>
      <c r="BB275" s="1" t="s">
        <v>74</v>
      </c>
      <c r="BC275" s="1" t="s">
        <v>74</v>
      </c>
      <c r="BD275" s="1">
        <v>106545.0</v>
      </c>
      <c r="BE275" s="1" t="s">
        <v>2994</v>
      </c>
      <c r="BF275" s="2" t="str">
        <f>HYPERLINK("http://dx.doi.org/10.1016/j.ultsonch.2023.106545","http://dx.doi.org/10.1016/j.ultsonch.2023.106545")</f>
        <v>http://dx.doi.org/10.1016/j.ultsonch.2023.106545</v>
      </c>
      <c r="BG275" s="1" t="s">
        <v>74</v>
      </c>
      <c r="BH275" s="1" t="s">
        <v>2995</v>
      </c>
      <c r="BI275" s="1" t="s">
        <v>74</v>
      </c>
      <c r="BJ275" s="1" t="s">
        <v>74</v>
      </c>
      <c r="BK275" s="1" t="s">
        <v>74</v>
      </c>
      <c r="BL275" s="1" t="s">
        <v>74</v>
      </c>
      <c r="BM275" s="1" t="s">
        <v>74</v>
      </c>
      <c r="BN275" s="1">
        <v>3.7572428E7</v>
      </c>
      <c r="BO275" s="1" t="s">
        <v>74</v>
      </c>
      <c r="BP275" s="1" t="s">
        <v>74</v>
      </c>
      <c r="BQ275" s="1" t="s">
        <v>74</v>
      </c>
      <c r="BR275" s="1" t="s">
        <v>74</v>
      </c>
      <c r="BS275" s="1" t="s">
        <v>2996</v>
      </c>
      <c r="BT275" s="1" t="str">
        <f>HYPERLINK("https%3A%2F%2Fwww.webofscience.com%2Fwos%2Fwoscc%2Ffull-record%2FWOS:001063070800001","View Full Record in Web of Science")</f>
        <v>View Full Record in Web of Science</v>
      </c>
    </row>
    <row r="276" ht="12.75" customHeight="1">
      <c r="A276" s="1" t="s">
        <v>72</v>
      </c>
      <c r="B276" s="1" t="s">
        <v>2997</v>
      </c>
      <c r="C276" s="1" t="s">
        <v>74</v>
      </c>
      <c r="D276" s="1" t="s">
        <v>74</v>
      </c>
      <c r="E276" s="1" t="s">
        <v>74</v>
      </c>
      <c r="F276" s="1" t="s">
        <v>2998</v>
      </c>
      <c r="G276" s="1" t="s">
        <v>74</v>
      </c>
      <c r="H276" s="1" t="s">
        <v>74</v>
      </c>
      <c r="I276" s="1" t="s">
        <v>2999</v>
      </c>
      <c r="J276" s="1" t="s">
        <v>3000</v>
      </c>
      <c r="K276" s="1" t="s">
        <v>74</v>
      </c>
      <c r="L276" s="1" t="s">
        <v>74</v>
      </c>
      <c r="M276" s="1" t="s">
        <v>74</v>
      </c>
      <c r="N276" s="1" t="s">
        <v>74</v>
      </c>
      <c r="O276" s="1" t="s">
        <v>74</v>
      </c>
      <c r="P276" s="1" t="s">
        <v>74</v>
      </c>
      <c r="Q276" s="1" t="s">
        <v>74</v>
      </c>
      <c r="R276" s="1" t="s">
        <v>74</v>
      </c>
      <c r="S276" s="1" t="s">
        <v>74</v>
      </c>
      <c r="T276" s="1" t="s">
        <v>74</v>
      </c>
      <c r="U276" s="1" t="s">
        <v>74</v>
      </c>
      <c r="V276" s="1" t="s">
        <v>3001</v>
      </c>
      <c r="W276" s="1" t="s">
        <v>74</v>
      </c>
      <c r="X276" s="1" t="s">
        <v>74</v>
      </c>
      <c r="Y276" s="1" t="s">
        <v>74</v>
      </c>
      <c r="Z276" s="1" t="s">
        <v>74</v>
      </c>
      <c r="AA276" s="1" t="s">
        <v>3002</v>
      </c>
      <c r="AB276" s="1" t="s">
        <v>3003</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3004</v>
      </c>
      <c r="AP276" s="1" t="s">
        <v>3005</v>
      </c>
      <c r="AQ276" s="1" t="s">
        <v>74</v>
      </c>
      <c r="AR276" s="1" t="s">
        <v>74</v>
      </c>
      <c r="AS276" s="1" t="s">
        <v>74</v>
      </c>
      <c r="AT276" s="1" t="s">
        <v>2167</v>
      </c>
      <c r="AU276" s="1">
        <v>2021.0</v>
      </c>
      <c r="AV276" s="1">
        <v>106.0</v>
      </c>
      <c r="AW276" s="1">
        <v>2.0</v>
      </c>
      <c r="AX276" s="1" t="s">
        <v>74</v>
      </c>
      <c r="AY276" s="1" t="s">
        <v>74</v>
      </c>
      <c r="AZ276" s="1" t="s">
        <v>74</v>
      </c>
      <c r="BA276" s="1" t="s">
        <v>74</v>
      </c>
      <c r="BB276" s="1" t="s">
        <v>3006</v>
      </c>
      <c r="BC276" s="1" t="s">
        <v>3007</v>
      </c>
      <c r="BD276" s="1" t="s">
        <v>74</v>
      </c>
      <c r="BE276" s="1" t="s">
        <v>3008</v>
      </c>
      <c r="BF276" s="2" t="str">
        <f>HYPERLINK("http://dx.doi.org/10.1210/clinem/dgaa809","http://dx.doi.org/10.1210/clinem/dgaa809")</f>
        <v>http://dx.doi.org/10.1210/clinem/dgaa809</v>
      </c>
      <c r="BG276" s="1" t="s">
        <v>74</v>
      </c>
      <c r="BH276" s="1" t="s">
        <v>74</v>
      </c>
      <c r="BI276" s="1" t="s">
        <v>74</v>
      </c>
      <c r="BJ276" s="1" t="s">
        <v>74</v>
      </c>
      <c r="BK276" s="1" t="s">
        <v>74</v>
      </c>
      <c r="BL276" s="1" t="s">
        <v>74</v>
      </c>
      <c r="BM276" s="1" t="s">
        <v>74</v>
      </c>
      <c r="BN276" s="1">
        <v>3.3150389E7</v>
      </c>
      <c r="BO276" s="1" t="s">
        <v>74</v>
      </c>
      <c r="BP276" s="1" t="s">
        <v>74</v>
      </c>
      <c r="BQ276" s="1" t="s">
        <v>74</v>
      </c>
      <c r="BR276" s="1" t="s">
        <v>74</v>
      </c>
      <c r="BS276" s="1" t="s">
        <v>3009</v>
      </c>
      <c r="BT276" s="1" t="str">
        <f>HYPERLINK("https%3A%2F%2Fwww.webofscience.com%2Fwos%2Fwoscc%2Ffull-record%2FWOS:000759115900070","View Full Record in Web of Science")</f>
        <v>View Full Record in Web of Science</v>
      </c>
    </row>
    <row r="277" ht="12.75" customHeight="1">
      <c r="A277" s="1" t="s">
        <v>72</v>
      </c>
      <c r="B277" s="1" t="s">
        <v>3010</v>
      </c>
      <c r="C277" s="1" t="s">
        <v>74</v>
      </c>
      <c r="D277" s="1" t="s">
        <v>74</v>
      </c>
      <c r="E277" s="1" t="s">
        <v>74</v>
      </c>
      <c r="F277" s="1" t="s">
        <v>3011</v>
      </c>
      <c r="G277" s="1" t="s">
        <v>74</v>
      </c>
      <c r="H277" s="1" t="s">
        <v>74</v>
      </c>
      <c r="I277" s="1" t="s">
        <v>3012</v>
      </c>
      <c r="J277" s="1" t="s">
        <v>3013</v>
      </c>
      <c r="K277" s="1" t="s">
        <v>74</v>
      </c>
      <c r="L277" s="1" t="s">
        <v>74</v>
      </c>
      <c r="M277" s="1" t="s">
        <v>74</v>
      </c>
      <c r="N277" s="1" t="s">
        <v>74</v>
      </c>
      <c r="O277" s="1" t="s">
        <v>74</v>
      </c>
      <c r="P277" s="1" t="s">
        <v>74</v>
      </c>
      <c r="Q277" s="1" t="s">
        <v>74</v>
      </c>
      <c r="R277" s="1" t="s">
        <v>74</v>
      </c>
      <c r="S277" s="1" t="s">
        <v>74</v>
      </c>
      <c r="T277" s="1" t="s">
        <v>74</v>
      </c>
      <c r="U277" s="1" t="s">
        <v>74</v>
      </c>
      <c r="V277" s="1" t="s">
        <v>3014</v>
      </c>
      <c r="W277" s="1" t="s">
        <v>74</v>
      </c>
      <c r="X277" s="1" t="s">
        <v>74</v>
      </c>
      <c r="Y277" s="1" t="s">
        <v>74</v>
      </c>
      <c r="Z277" s="1" t="s">
        <v>74</v>
      </c>
      <c r="AA277" s="1" t="s">
        <v>3015</v>
      </c>
      <c r="AB277" s="1" t="s">
        <v>3016</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3017</v>
      </c>
      <c r="AP277" s="1" t="s">
        <v>3018</v>
      </c>
      <c r="AQ277" s="1" t="s">
        <v>74</v>
      </c>
      <c r="AR277" s="1" t="s">
        <v>74</v>
      </c>
      <c r="AS277" s="1" t="s">
        <v>74</v>
      </c>
      <c r="AT277" s="1" t="s">
        <v>334</v>
      </c>
      <c r="AU277" s="1">
        <v>2020.0</v>
      </c>
      <c r="AV277" s="1">
        <v>31.0</v>
      </c>
      <c r="AW277" s="1">
        <v>19.0</v>
      </c>
      <c r="AX277" s="1" t="s">
        <v>74</v>
      </c>
      <c r="AY277" s="1" t="s">
        <v>74</v>
      </c>
      <c r="AZ277" s="1" t="s">
        <v>74</v>
      </c>
      <c r="BA277" s="1" t="s">
        <v>74</v>
      </c>
      <c r="BB277" s="1">
        <v>16728.0</v>
      </c>
      <c r="BC277" s="1">
        <v>16736.0</v>
      </c>
      <c r="BD277" s="1" t="s">
        <v>74</v>
      </c>
      <c r="BE277" s="1" t="s">
        <v>3019</v>
      </c>
      <c r="BF277" s="2" t="str">
        <f>HYPERLINK("http://dx.doi.org/10.1007/s10854-020-04228-3","http://dx.doi.org/10.1007/s10854-020-04228-3")</f>
        <v>http://dx.doi.org/10.1007/s10854-020-04228-3</v>
      </c>
      <c r="BG277" s="1" t="s">
        <v>74</v>
      </c>
      <c r="BH277" s="1" t="s">
        <v>3020</v>
      </c>
      <c r="BI277" s="1" t="s">
        <v>74</v>
      </c>
      <c r="BJ277" s="1" t="s">
        <v>74</v>
      </c>
      <c r="BK277" s="1" t="s">
        <v>74</v>
      </c>
      <c r="BL277" s="1" t="s">
        <v>74</v>
      </c>
      <c r="BM277" s="1" t="s">
        <v>74</v>
      </c>
      <c r="BN277" s="1" t="s">
        <v>74</v>
      </c>
      <c r="BO277" s="1" t="s">
        <v>74</v>
      </c>
      <c r="BP277" s="1" t="s">
        <v>74</v>
      </c>
      <c r="BQ277" s="1" t="s">
        <v>74</v>
      </c>
      <c r="BR277" s="1" t="s">
        <v>74</v>
      </c>
      <c r="BS277" s="1" t="s">
        <v>3021</v>
      </c>
      <c r="BT277" s="1" t="str">
        <f>HYPERLINK("https%3A%2F%2Fwww.webofscience.com%2Fwos%2Fwoscc%2Ffull-record%2FWOS:000560636100005","View Full Record in Web of Science")</f>
        <v>View Full Record in Web of Science</v>
      </c>
    </row>
    <row r="278" ht="12.75" customHeight="1">
      <c r="A278" s="1" t="s">
        <v>72</v>
      </c>
      <c r="B278" s="1" t="s">
        <v>3022</v>
      </c>
      <c r="C278" s="1" t="s">
        <v>74</v>
      </c>
      <c r="D278" s="1" t="s">
        <v>74</v>
      </c>
      <c r="E278" s="1" t="s">
        <v>74</v>
      </c>
      <c r="F278" s="1" t="s">
        <v>3023</v>
      </c>
      <c r="G278" s="1" t="s">
        <v>74</v>
      </c>
      <c r="H278" s="1" t="s">
        <v>74</v>
      </c>
      <c r="I278" s="1" t="s">
        <v>3024</v>
      </c>
      <c r="J278" s="1" t="s">
        <v>3025</v>
      </c>
      <c r="K278" s="1" t="s">
        <v>74</v>
      </c>
      <c r="L278" s="1" t="s">
        <v>74</v>
      </c>
      <c r="M278" s="1" t="s">
        <v>74</v>
      </c>
      <c r="N278" s="1" t="s">
        <v>74</v>
      </c>
      <c r="O278" s="1" t="s">
        <v>74</v>
      </c>
      <c r="P278" s="1" t="s">
        <v>74</v>
      </c>
      <c r="Q278" s="1" t="s">
        <v>74</v>
      </c>
      <c r="R278" s="1" t="s">
        <v>74</v>
      </c>
      <c r="S278" s="1" t="s">
        <v>74</v>
      </c>
      <c r="T278" s="1" t="s">
        <v>74</v>
      </c>
      <c r="U278" s="1" t="s">
        <v>74</v>
      </c>
      <c r="V278" s="1" t="s">
        <v>74</v>
      </c>
      <c r="W278" s="1" t="s">
        <v>74</v>
      </c>
      <c r="X278" s="1" t="s">
        <v>74</v>
      </c>
      <c r="Y278" s="1" t="s">
        <v>74</v>
      </c>
      <c r="Z278" s="1" t="s">
        <v>74</v>
      </c>
      <c r="AA278" s="1" t="s">
        <v>3026</v>
      </c>
      <c r="AB278" s="1" t="s">
        <v>3027</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3028</v>
      </c>
      <c r="AP278" s="1" t="s">
        <v>3029</v>
      </c>
      <c r="AQ278" s="1" t="s">
        <v>74</v>
      </c>
      <c r="AR278" s="1" t="s">
        <v>74</v>
      </c>
      <c r="AS278" s="1" t="s">
        <v>74</v>
      </c>
      <c r="AT278" s="1" t="s">
        <v>334</v>
      </c>
      <c r="AU278" s="1">
        <v>2019.0</v>
      </c>
      <c r="AV278" s="1">
        <v>227.0</v>
      </c>
      <c r="AW278" s="1" t="s">
        <v>74</v>
      </c>
      <c r="AX278" s="1" t="s">
        <v>74</v>
      </c>
      <c r="AY278" s="1">
        <v>719.0</v>
      </c>
      <c r="AZ278" s="1" t="s">
        <v>448</v>
      </c>
      <c r="BA278" s="1" t="s">
        <v>3030</v>
      </c>
      <c r="BB278" s="1" t="s">
        <v>74</v>
      </c>
      <c r="BC278" s="1" t="s">
        <v>74</v>
      </c>
      <c r="BD278" s="1" t="s">
        <v>74</v>
      </c>
      <c r="BE278" s="1" t="s">
        <v>74</v>
      </c>
      <c r="BF278" s="1" t="s">
        <v>74</v>
      </c>
      <c r="BG278" s="1" t="s">
        <v>74</v>
      </c>
      <c r="BH278" s="1" t="s">
        <v>74</v>
      </c>
      <c r="BI278" s="1" t="s">
        <v>74</v>
      </c>
      <c r="BJ278" s="1" t="s">
        <v>74</v>
      </c>
      <c r="BK278" s="1" t="s">
        <v>74</v>
      </c>
      <c r="BL278" s="1" t="s">
        <v>74</v>
      </c>
      <c r="BM278" s="1" t="s">
        <v>74</v>
      </c>
      <c r="BN278" s="1" t="s">
        <v>74</v>
      </c>
      <c r="BO278" s="1" t="s">
        <v>74</v>
      </c>
      <c r="BP278" s="1" t="s">
        <v>74</v>
      </c>
      <c r="BQ278" s="1" t="s">
        <v>74</v>
      </c>
      <c r="BR278" s="1" t="s">
        <v>74</v>
      </c>
      <c r="BS278" s="1" t="s">
        <v>3031</v>
      </c>
      <c r="BT278" s="1" t="str">
        <f>HYPERLINK("https%3A%2F%2Fwww.webofscience.com%2Fwos%2Fwoscc%2Ffull-record%2FWOS:000487978200370","View Full Record in Web of Science")</f>
        <v>View Full Record in Web of Science</v>
      </c>
    </row>
    <row r="279" ht="12.75" customHeight="1">
      <c r="A279" s="1" t="s">
        <v>72</v>
      </c>
      <c r="B279" s="1" t="s">
        <v>3032</v>
      </c>
      <c r="C279" s="1" t="s">
        <v>74</v>
      </c>
      <c r="D279" s="1" t="s">
        <v>74</v>
      </c>
      <c r="E279" s="1" t="s">
        <v>74</v>
      </c>
      <c r="F279" s="1" t="s">
        <v>3033</v>
      </c>
      <c r="G279" s="1" t="s">
        <v>74</v>
      </c>
      <c r="H279" s="1" t="s">
        <v>74</v>
      </c>
      <c r="I279" s="1" t="s">
        <v>3034</v>
      </c>
      <c r="J279" s="1" t="s">
        <v>1550</v>
      </c>
      <c r="K279" s="1" t="s">
        <v>74</v>
      </c>
      <c r="L279" s="1" t="s">
        <v>74</v>
      </c>
      <c r="M279" s="1" t="s">
        <v>74</v>
      </c>
      <c r="N279" s="1" t="s">
        <v>74</v>
      </c>
      <c r="O279" s="1" t="s">
        <v>74</v>
      </c>
      <c r="P279" s="1" t="s">
        <v>74</v>
      </c>
      <c r="Q279" s="1" t="s">
        <v>74</v>
      </c>
      <c r="R279" s="1" t="s">
        <v>74</v>
      </c>
      <c r="S279" s="1" t="s">
        <v>74</v>
      </c>
      <c r="T279" s="1" t="s">
        <v>74</v>
      </c>
      <c r="U279" s="1" t="s">
        <v>74</v>
      </c>
      <c r="V279" s="1" t="s">
        <v>3035</v>
      </c>
      <c r="W279" s="1" t="s">
        <v>74</v>
      </c>
      <c r="X279" s="1" t="s">
        <v>74</v>
      </c>
      <c r="Y279" s="1" t="s">
        <v>74</v>
      </c>
      <c r="Z279" s="1" t="s">
        <v>74</v>
      </c>
      <c r="AA279" s="1" t="s">
        <v>3036</v>
      </c>
      <c r="AB279" s="1" t="s">
        <v>3037</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1554</v>
      </c>
      <c r="AP279" s="1" t="s">
        <v>3038</v>
      </c>
      <c r="AQ279" s="1" t="s">
        <v>74</v>
      </c>
      <c r="AR279" s="1" t="s">
        <v>74</v>
      </c>
      <c r="AS279" s="1" t="s">
        <v>74</v>
      </c>
      <c r="AT279" s="1" t="s">
        <v>3039</v>
      </c>
      <c r="AU279" s="1">
        <v>2018.0</v>
      </c>
      <c r="AV279" s="1">
        <v>57.0</v>
      </c>
      <c r="AW279" s="1">
        <v>11.0</v>
      </c>
      <c r="AX279" s="1" t="s">
        <v>74</v>
      </c>
      <c r="AY279" s="1" t="s">
        <v>74</v>
      </c>
      <c r="AZ279" s="1" t="s">
        <v>74</v>
      </c>
      <c r="BA279" s="1" t="s">
        <v>74</v>
      </c>
      <c r="BB279" s="1">
        <v>6362.0</v>
      </c>
      <c r="BC279" s="1">
        <v>6375.0</v>
      </c>
      <c r="BD279" s="1" t="s">
        <v>74</v>
      </c>
      <c r="BE279" s="1" t="s">
        <v>3040</v>
      </c>
      <c r="BF279" s="2" t="str">
        <f>HYPERLINK("http://dx.doi.org/10.1021/acs.inorgchem.8b00427","http://dx.doi.org/10.1021/acs.inorgchem.8b00427")</f>
        <v>http://dx.doi.org/10.1021/acs.inorgchem.8b00427</v>
      </c>
      <c r="BG279" s="1" t="s">
        <v>74</v>
      </c>
      <c r="BH279" s="1" t="s">
        <v>74</v>
      </c>
      <c r="BI279" s="1" t="s">
        <v>74</v>
      </c>
      <c r="BJ279" s="1" t="s">
        <v>74</v>
      </c>
      <c r="BK279" s="1" t="s">
        <v>74</v>
      </c>
      <c r="BL279" s="1" t="s">
        <v>74</v>
      </c>
      <c r="BM279" s="1" t="s">
        <v>74</v>
      </c>
      <c r="BN279" s="1">
        <v>2.9775043E7</v>
      </c>
      <c r="BO279" s="1" t="s">
        <v>74</v>
      </c>
      <c r="BP279" s="1" t="s">
        <v>74</v>
      </c>
      <c r="BQ279" s="1" t="s">
        <v>74</v>
      </c>
      <c r="BR279" s="1" t="s">
        <v>74</v>
      </c>
      <c r="BS279" s="1" t="s">
        <v>3041</v>
      </c>
      <c r="BT279" s="1" t="str">
        <f>HYPERLINK("https%3A%2F%2Fwww.webofscience.com%2Fwos%2Fwoscc%2Ffull-record%2FWOS:000434491700022","View Full Record in Web of Science")</f>
        <v>View Full Record in Web of Science</v>
      </c>
    </row>
    <row r="280" ht="12.75" customHeight="1">
      <c r="A280" s="1" t="s">
        <v>72</v>
      </c>
      <c r="B280" s="1" t="s">
        <v>3042</v>
      </c>
      <c r="C280" s="1" t="s">
        <v>74</v>
      </c>
      <c r="D280" s="1" t="s">
        <v>74</v>
      </c>
      <c r="E280" s="1" t="s">
        <v>74</v>
      </c>
      <c r="F280" s="1" t="s">
        <v>3043</v>
      </c>
      <c r="G280" s="1" t="s">
        <v>74</v>
      </c>
      <c r="H280" s="1" t="s">
        <v>74</v>
      </c>
      <c r="I280" s="1" t="s">
        <v>3044</v>
      </c>
      <c r="J280" s="1" t="s">
        <v>3045</v>
      </c>
      <c r="K280" s="1" t="s">
        <v>74</v>
      </c>
      <c r="L280" s="1" t="s">
        <v>74</v>
      </c>
      <c r="M280" s="1" t="s">
        <v>74</v>
      </c>
      <c r="N280" s="1" t="s">
        <v>74</v>
      </c>
      <c r="O280" s="1" t="s">
        <v>74</v>
      </c>
      <c r="P280" s="1" t="s">
        <v>74</v>
      </c>
      <c r="Q280" s="1" t="s">
        <v>74</v>
      </c>
      <c r="R280" s="1" t="s">
        <v>74</v>
      </c>
      <c r="S280" s="1" t="s">
        <v>74</v>
      </c>
      <c r="T280" s="1" t="s">
        <v>74</v>
      </c>
      <c r="U280" s="1" t="s">
        <v>74</v>
      </c>
      <c r="V280" s="1" t="s">
        <v>3046</v>
      </c>
      <c r="W280" s="1" t="s">
        <v>74</v>
      </c>
      <c r="X280" s="1" t="s">
        <v>74</v>
      </c>
      <c r="Y280" s="1" t="s">
        <v>74</v>
      </c>
      <c r="Z280" s="1" t="s">
        <v>74</v>
      </c>
      <c r="AA280" s="1" t="s">
        <v>3047</v>
      </c>
      <c r="AB280" s="1" t="s">
        <v>3048</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3049</v>
      </c>
      <c r="AP280" s="1" t="s">
        <v>74</v>
      </c>
      <c r="AQ280" s="1" t="s">
        <v>74</v>
      </c>
      <c r="AR280" s="1" t="s">
        <v>74</v>
      </c>
      <c r="AS280" s="1" t="s">
        <v>74</v>
      </c>
      <c r="AT280" s="1" t="s">
        <v>723</v>
      </c>
      <c r="AU280" s="1">
        <v>2023.0</v>
      </c>
      <c r="AV280" s="1">
        <v>546.0</v>
      </c>
      <c r="AW280" s="1" t="s">
        <v>74</v>
      </c>
      <c r="AX280" s="1" t="s">
        <v>74</v>
      </c>
      <c r="AY280" s="1" t="s">
        <v>74</v>
      </c>
      <c r="AZ280" s="1" t="s">
        <v>74</v>
      </c>
      <c r="BA280" s="1" t="s">
        <v>74</v>
      </c>
      <c r="BB280" s="1" t="s">
        <v>74</v>
      </c>
      <c r="BC280" s="1" t="s">
        <v>74</v>
      </c>
      <c r="BD280" s="1">
        <v>113262.0</v>
      </c>
      <c r="BE280" s="1" t="s">
        <v>3050</v>
      </c>
      <c r="BF280" s="2" t="str">
        <f>HYPERLINK("http://dx.doi.org/10.1016/j.mcat.2023.113262","http://dx.doi.org/10.1016/j.mcat.2023.113262")</f>
        <v>http://dx.doi.org/10.1016/j.mcat.2023.113262</v>
      </c>
      <c r="BG280" s="1" t="s">
        <v>74</v>
      </c>
      <c r="BH280" s="1" t="s">
        <v>1507</v>
      </c>
      <c r="BI280" s="1" t="s">
        <v>74</v>
      </c>
      <c r="BJ280" s="1" t="s">
        <v>74</v>
      </c>
      <c r="BK280" s="1" t="s">
        <v>74</v>
      </c>
      <c r="BL280" s="1" t="s">
        <v>74</v>
      </c>
      <c r="BM280" s="1" t="s">
        <v>74</v>
      </c>
      <c r="BN280" s="1" t="s">
        <v>74</v>
      </c>
      <c r="BO280" s="1" t="s">
        <v>74</v>
      </c>
      <c r="BP280" s="1" t="s">
        <v>74</v>
      </c>
      <c r="BQ280" s="1" t="s">
        <v>74</v>
      </c>
      <c r="BR280" s="1" t="s">
        <v>74</v>
      </c>
      <c r="BS280" s="1" t="s">
        <v>3051</v>
      </c>
      <c r="BT280" s="1" t="str">
        <f>HYPERLINK("https%3A%2F%2Fwww.webofscience.com%2Fwos%2Fwoscc%2Ffull-record%2FWOS:001013219500001","View Full Record in Web of Science")</f>
        <v>View Full Record in Web of Science</v>
      </c>
    </row>
    <row r="281" ht="12.75" customHeight="1">
      <c r="A281" s="1" t="s">
        <v>72</v>
      </c>
      <c r="B281" s="1" t="s">
        <v>3052</v>
      </c>
      <c r="C281" s="1" t="s">
        <v>74</v>
      </c>
      <c r="D281" s="1" t="s">
        <v>74</v>
      </c>
      <c r="E281" s="1" t="s">
        <v>74</v>
      </c>
      <c r="F281" s="1" t="s">
        <v>3053</v>
      </c>
      <c r="G281" s="1" t="s">
        <v>74</v>
      </c>
      <c r="H281" s="1" t="s">
        <v>74</v>
      </c>
      <c r="I281" s="1" t="s">
        <v>3054</v>
      </c>
      <c r="J281" s="1" t="s">
        <v>480</v>
      </c>
      <c r="K281" s="1" t="s">
        <v>74</v>
      </c>
      <c r="L281" s="1" t="s">
        <v>74</v>
      </c>
      <c r="M281" s="1" t="s">
        <v>74</v>
      </c>
      <c r="N281" s="1" t="s">
        <v>74</v>
      </c>
      <c r="O281" s="1" t="s">
        <v>74</v>
      </c>
      <c r="P281" s="1" t="s">
        <v>74</v>
      </c>
      <c r="Q281" s="1" t="s">
        <v>74</v>
      </c>
      <c r="R281" s="1" t="s">
        <v>74</v>
      </c>
      <c r="S281" s="1" t="s">
        <v>74</v>
      </c>
      <c r="T281" s="1" t="s">
        <v>74</v>
      </c>
      <c r="U281" s="1" t="s">
        <v>74</v>
      </c>
      <c r="V281" s="1" t="s">
        <v>3055</v>
      </c>
      <c r="W281" s="1" t="s">
        <v>74</v>
      </c>
      <c r="X281" s="1" t="s">
        <v>74</v>
      </c>
      <c r="Y281" s="1" t="s">
        <v>74</v>
      </c>
      <c r="Z281" s="1" t="s">
        <v>74</v>
      </c>
      <c r="AA281" s="1" t="s">
        <v>3056</v>
      </c>
      <c r="AB281" s="1" t="s">
        <v>3057</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484</v>
      </c>
      <c r="AP281" s="1" t="s">
        <v>74</v>
      </c>
      <c r="AQ281" s="1" t="s">
        <v>74</v>
      </c>
      <c r="AR281" s="1" t="s">
        <v>74</v>
      </c>
      <c r="AS281" s="1" t="s">
        <v>74</v>
      </c>
      <c r="AT281" s="1" t="s">
        <v>3058</v>
      </c>
      <c r="AU281" s="1">
        <v>2022.0</v>
      </c>
      <c r="AV281" s="1">
        <v>12.0</v>
      </c>
      <c r="AW281" s="1">
        <v>1.0</v>
      </c>
      <c r="AX281" s="1" t="s">
        <v>74</v>
      </c>
      <c r="AY281" s="1" t="s">
        <v>74</v>
      </c>
      <c r="AZ281" s="1" t="s">
        <v>74</v>
      </c>
      <c r="BA281" s="1" t="s">
        <v>74</v>
      </c>
      <c r="BB281" s="1" t="s">
        <v>74</v>
      </c>
      <c r="BC281" s="1" t="s">
        <v>74</v>
      </c>
      <c r="BD281" s="1">
        <v>5805.0</v>
      </c>
      <c r="BE281" s="1" t="s">
        <v>3059</v>
      </c>
      <c r="BF281" s="2" t="str">
        <f>HYPERLINK("http://dx.doi.org/10.1038/s41598-022-09729-1","http://dx.doi.org/10.1038/s41598-022-09729-1")</f>
        <v>http://dx.doi.org/10.1038/s41598-022-09729-1</v>
      </c>
      <c r="BG281" s="1" t="s">
        <v>74</v>
      </c>
      <c r="BH281" s="1" t="s">
        <v>74</v>
      </c>
      <c r="BI281" s="1" t="s">
        <v>74</v>
      </c>
      <c r="BJ281" s="1" t="s">
        <v>74</v>
      </c>
      <c r="BK281" s="1" t="s">
        <v>74</v>
      </c>
      <c r="BL281" s="1" t="s">
        <v>74</v>
      </c>
      <c r="BM281" s="1" t="s">
        <v>74</v>
      </c>
      <c r="BN281" s="1">
        <v>3.5388103E7</v>
      </c>
      <c r="BO281" s="1" t="s">
        <v>74</v>
      </c>
      <c r="BP281" s="1" t="s">
        <v>74</v>
      </c>
      <c r="BQ281" s="1" t="s">
        <v>74</v>
      </c>
      <c r="BR281" s="1" t="s">
        <v>74</v>
      </c>
      <c r="BS281" s="1" t="s">
        <v>3060</v>
      </c>
      <c r="BT281" s="1" t="str">
        <f>HYPERLINK("https%3A%2F%2Fwww.webofscience.com%2Fwos%2Fwoscc%2Ffull-record%2FWOS:000780164200064","View Full Record in Web of Science")</f>
        <v>View Full Record in Web of Science</v>
      </c>
    </row>
    <row r="282" ht="12.75" customHeight="1">
      <c r="A282" s="1" t="s">
        <v>72</v>
      </c>
      <c r="B282" s="1" t="s">
        <v>3061</v>
      </c>
      <c r="C282" s="1" t="s">
        <v>74</v>
      </c>
      <c r="D282" s="1" t="s">
        <v>74</v>
      </c>
      <c r="E282" s="1" t="s">
        <v>74</v>
      </c>
      <c r="F282" s="1" t="s">
        <v>3062</v>
      </c>
      <c r="G282" s="1" t="s">
        <v>74</v>
      </c>
      <c r="H282" s="1" t="s">
        <v>74</v>
      </c>
      <c r="I282" s="1" t="s">
        <v>3063</v>
      </c>
      <c r="J282" s="1" t="s">
        <v>1923</v>
      </c>
      <c r="K282" s="1" t="s">
        <v>74</v>
      </c>
      <c r="L282" s="1" t="s">
        <v>74</v>
      </c>
      <c r="M282" s="1" t="s">
        <v>74</v>
      </c>
      <c r="N282" s="1" t="s">
        <v>74</v>
      </c>
      <c r="O282" s="1" t="s">
        <v>74</v>
      </c>
      <c r="P282" s="1" t="s">
        <v>74</v>
      </c>
      <c r="Q282" s="1" t="s">
        <v>74</v>
      </c>
      <c r="R282" s="1" t="s">
        <v>74</v>
      </c>
      <c r="S282" s="1" t="s">
        <v>74</v>
      </c>
      <c r="T282" s="1" t="s">
        <v>74</v>
      </c>
      <c r="U282" s="1" t="s">
        <v>74</v>
      </c>
      <c r="V282" s="1" t="s">
        <v>3064</v>
      </c>
      <c r="W282" s="1" t="s">
        <v>74</v>
      </c>
      <c r="X282" s="1" t="s">
        <v>74</v>
      </c>
      <c r="Y282" s="1" t="s">
        <v>74</v>
      </c>
      <c r="Z282" s="1" t="s">
        <v>74</v>
      </c>
      <c r="AA282" s="1" t="s">
        <v>3065</v>
      </c>
      <c r="AB282" s="1" t="s">
        <v>3066</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1927</v>
      </c>
      <c r="AP282" s="1" t="s">
        <v>1928</v>
      </c>
      <c r="AQ282" s="1" t="s">
        <v>74</v>
      </c>
      <c r="AR282" s="1" t="s">
        <v>74</v>
      </c>
      <c r="AS282" s="1" t="s">
        <v>74</v>
      </c>
      <c r="AT282" s="1" t="s">
        <v>106</v>
      </c>
      <c r="AU282" s="1">
        <v>2021.0</v>
      </c>
      <c r="AV282" s="1">
        <v>31.0</v>
      </c>
      <c r="AW282" s="1">
        <v>11.0</v>
      </c>
      <c r="AX282" s="1" t="s">
        <v>74</v>
      </c>
      <c r="AY282" s="1" t="s">
        <v>74</v>
      </c>
      <c r="AZ282" s="1" t="s">
        <v>74</v>
      </c>
      <c r="BA282" s="1" t="s">
        <v>74</v>
      </c>
      <c r="BB282" s="1">
        <v>2064.0</v>
      </c>
      <c r="BC282" s="1">
        <v>2070.0</v>
      </c>
      <c r="BD282" s="1" t="s">
        <v>74</v>
      </c>
      <c r="BE282" s="1" t="s">
        <v>3067</v>
      </c>
      <c r="BF282" s="2" t="str">
        <f>HYPERLINK("http://dx.doi.org/10.1111/sms.14026","http://dx.doi.org/10.1111/sms.14026")</f>
        <v>http://dx.doi.org/10.1111/sms.14026</v>
      </c>
      <c r="BG282" s="1" t="s">
        <v>74</v>
      </c>
      <c r="BH282" s="1" t="s">
        <v>178</v>
      </c>
      <c r="BI282" s="1" t="s">
        <v>74</v>
      </c>
      <c r="BJ282" s="1" t="s">
        <v>74</v>
      </c>
      <c r="BK282" s="1" t="s">
        <v>74</v>
      </c>
      <c r="BL282" s="1" t="s">
        <v>74</v>
      </c>
      <c r="BM282" s="1" t="s">
        <v>74</v>
      </c>
      <c r="BN282" s="1">
        <v>3.4309944E7</v>
      </c>
      <c r="BO282" s="1" t="s">
        <v>74</v>
      </c>
      <c r="BP282" s="1" t="s">
        <v>74</v>
      </c>
      <c r="BQ282" s="1" t="s">
        <v>74</v>
      </c>
      <c r="BR282" s="1" t="s">
        <v>74</v>
      </c>
      <c r="BS282" s="1" t="s">
        <v>3068</v>
      </c>
      <c r="BT282" s="1" t="str">
        <f>HYPERLINK("https%3A%2F%2Fwww.webofscience.com%2Fwos%2Fwoscc%2Ffull-record%2FWOS:000681107500001","View Full Record in Web of Science")</f>
        <v>View Full Record in Web of Science</v>
      </c>
    </row>
    <row r="283" ht="12.75" customHeight="1">
      <c r="A283" s="1" t="s">
        <v>72</v>
      </c>
      <c r="B283" s="1" t="s">
        <v>3069</v>
      </c>
      <c r="C283" s="1" t="s">
        <v>74</v>
      </c>
      <c r="D283" s="1" t="s">
        <v>74</v>
      </c>
      <c r="E283" s="1" t="s">
        <v>74</v>
      </c>
      <c r="F283" s="1" t="s">
        <v>3070</v>
      </c>
      <c r="G283" s="1" t="s">
        <v>74</v>
      </c>
      <c r="H283" s="1" t="s">
        <v>74</v>
      </c>
      <c r="I283" s="1" t="s">
        <v>3071</v>
      </c>
      <c r="J283" s="1" t="s">
        <v>2479</v>
      </c>
      <c r="K283" s="1" t="s">
        <v>74</v>
      </c>
      <c r="L283" s="1" t="s">
        <v>74</v>
      </c>
      <c r="M283" s="1" t="s">
        <v>74</v>
      </c>
      <c r="N283" s="1" t="s">
        <v>74</v>
      </c>
      <c r="O283" s="1" t="s">
        <v>74</v>
      </c>
      <c r="P283" s="1" t="s">
        <v>74</v>
      </c>
      <c r="Q283" s="1" t="s">
        <v>74</v>
      </c>
      <c r="R283" s="1" t="s">
        <v>74</v>
      </c>
      <c r="S283" s="1" t="s">
        <v>74</v>
      </c>
      <c r="T283" s="1" t="s">
        <v>74</v>
      </c>
      <c r="U283" s="1" t="s">
        <v>74</v>
      </c>
      <c r="V283" s="1" t="s">
        <v>3072</v>
      </c>
      <c r="W283" s="1" t="s">
        <v>74</v>
      </c>
      <c r="X283" s="1" t="s">
        <v>74</v>
      </c>
      <c r="Y283" s="1" t="s">
        <v>74</v>
      </c>
      <c r="Z283" s="1" t="s">
        <v>74</v>
      </c>
      <c r="AA283" s="1" t="s">
        <v>3073</v>
      </c>
      <c r="AB283" s="1" t="s">
        <v>3074</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74</v>
      </c>
      <c r="AP283" s="1" t="s">
        <v>2483</v>
      </c>
      <c r="AQ283" s="1" t="s">
        <v>74</v>
      </c>
      <c r="AR283" s="1" t="s">
        <v>74</v>
      </c>
      <c r="AS283" s="1" t="s">
        <v>74</v>
      </c>
      <c r="AT283" s="1" t="s">
        <v>3075</v>
      </c>
      <c r="AU283" s="1">
        <v>2020.0</v>
      </c>
      <c r="AV283" s="1">
        <v>11.0</v>
      </c>
      <c r="AW283" s="1" t="s">
        <v>74</v>
      </c>
      <c r="AX283" s="1" t="s">
        <v>74</v>
      </c>
      <c r="AY283" s="1" t="s">
        <v>74</v>
      </c>
      <c r="AZ283" s="1" t="s">
        <v>74</v>
      </c>
      <c r="BA283" s="1" t="s">
        <v>74</v>
      </c>
      <c r="BB283" s="1" t="s">
        <v>74</v>
      </c>
      <c r="BC283" s="1" t="s">
        <v>74</v>
      </c>
      <c r="BD283" s="1">
        <v>498758.0</v>
      </c>
      <c r="BE283" s="1" t="s">
        <v>3076</v>
      </c>
      <c r="BF283" s="2" t="str">
        <f>HYPERLINK("http://dx.doi.org/10.3389/fphar.2020.498758","http://dx.doi.org/10.3389/fphar.2020.498758")</f>
        <v>http://dx.doi.org/10.3389/fphar.2020.498758</v>
      </c>
      <c r="BG283" s="1" t="s">
        <v>74</v>
      </c>
      <c r="BH283" s="1" t="s">
        <v>74</v>
      </c>
      <c r="BI283" s="1" t="s">
        <v>74</v>
      </c>
      <c r="BJ283" s="1" t="s">
        <v>74</v>
      </c>
      <c r="BK283" s="1" t="s">
        <v>74</v>
      </c>
      <c r="BL283" s="1" t="s">
        <v>74</v>
      </c>
      <c r="BM283" s="1" t="s">
        <v>74</v>
      </c>
      <c r="BN283" s="1">
        <v>3.3041786E7</v>
      </c>
      <c r="BO283" s="1" t="s">
        <v>74</v>
      </c>
      <c r="BP283" s="1" t="s">
        <v>74</v>
      </c>
      <c r="BQ283" s="1" t="s">
        <v>74</v>
      </c>
      <c r="BR283" s="1" t="s">
        <v>74</v>
      </c>
      <c r="BS283" s="1" t="s">
        <v>3077</v>
      </c>
      <c r="BT283" s="1" t="str">
        <f>HYPERLINK("https%3A%2F%2Fwww.webofscience.com%2Fwos%2Fwoscc%2Ffull-record%2FWOS:000576200800001","View Full Record in Web of Science")</f>
        <v>View Full Record in Web of Science</v>
      </c>
    </row>
    <row r="284" ht="12.75" customHeight="1">
      <c r="A284" s="1" t="s">
        <v>72</v>
      </c>
      <c r="B284" s="1" t="s">
        <v>3078</v>
      </c>
      <c r="C284" s="1" t="s">
        <v>74</v>
      </c>
      <c r="D284" s="1" t="s">
        <v>74</v>
      </c>
      <c r="E284" s="1" t="s">
        <v>74</v>
      </c>
      <c r="F284" s="1" t="s">
        <v>3079</v>
      </c>
      <c r="G284" s="1" t="s">
        <v>74</v>
      </c>
      <c r="H284" s="1" t="s">
        <v>74</v>
      </c>
      <c r="I284" s="1" t="s">
        <v>3080</v>
      </c>
      <c r="J284" s="1" t="s">
        <v>3081</v>
      </c>
      <c r="K284" s="1" t="s">
        <v>74</v>
      </c>
      <c r="L284" s="1" t="s">
        <v>74</v>
      </c>
      <c r="M284" s="1" t="s">
        <v>74</v>
      </c>
      <c r="N284" s="1" t="s">
        <v>74</v>
      </c>
      <c r="O284" s="1" t="s">
        <v>74</v>
      </c>
      <c r="P284" s="1" t="s">
        <v>74</v>
      </c>
      <c r="Q284" s="1" t="s">
        <v>74</v>
      </c>
      <c r="R284" s="1" t="s">
        <v>74</v>
      </c>
      <c r="S284" s="1" t="s">
        <v>74</v>
      </c>
      <c r="T284" s="1" t="s">
        <v>74</v>
      </c>
      <c r="U284" s="1" t="s">
        <v>74</v>
      </c>
      <c r="V284" s="1" t="s">
        <v>3082</v>
      </c>
      <c r="W284" s="1" t="s">
        <v>74</v>
      </c>
      <c r="X284" s="1" t="s">
        <v>74</v>
      </c>
      <c r="Y284" s="1" t="s">
        <v>74</v>
      </c>
      <c r="Z284" s="1" t="s">
        <v>74</v>
      </c>
      <c r="AA284" s="1" t="s">
        <v>3083</v>
      </c>
      <c r="AB284" s="1" t="s">
        <v>3084</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3085</v>
      </c>
      <c r="AP284" s="1" t="s">
        <v>3086</v>
      </c>
      <c r="AQ284" s="1" t="s">
        <v>74</v>
      </c>
      <c r="AR284" s="1" t="s">
        <v>74</v>
      </c>
      <c r="AS284" s="1" t="s">
        <v>74</v>
      </c>
      <c r="AT284" s="1" t="s">
        <v>74</v>
      </c>
      <c r="AU284" s="1">
        <v>2016.0</v>
      </c>
      <c r="AV284" s="1">
        <v>14.0</v>
      </c>
      <c r="AW284" s="1">
        <v>17.0</v>
      </c>
      <c r="AX284" s="1" t="s">
        <v>74</v>
      </c>
      <c r="AY284" s="1" t="s">
        <v>74</v>
      </c>
      <c r="AZ284" s="1" t="s">
        <v>74</v>
      </c>
      <c r="BA284" s="1" t="s">
        <v>74</v>
      </c>
      <c r="BB284" s="1">
        <v>4023.0</v>
      </c>
      <c r="BC284" s="1">
        <v>4026.0</v>
      </c>
      <c r="BD284" s="1" t="s">
        <v>74</v>
      </c>
      <c r="BE284" s="1" t="s">
        <v>3087</v>
      </c>
      <c r="BF284" s="2" t="str">
        <f>HYPERLINK("http://dx.doi.org/10.1039/c6ob00533k","http://dx.doi.org/10.1039/c6ob00533k")</f>
        <v>http://dx.doi.org/10.1039/c6ob00533k</v>
      </c>
      <c r="BG284" s="1" t="s">
        <v>74</v>
      </c>
      <c r="BH284" s="1" t="s">
        <v>74</v>
      </c>
      <c r="BI284" s="1" t="s">
        <v>74</v>
      </c>
      <c r="BJ284" s="1" t="s">
        <v>74</v>
      </c>
      <c r="BK284" s="1" t="s">
        <v>74</v>
      </c>
      <c r="BL284" s="1" t="s">
        <v>74</v>
      </c>
      <c r="BM284" s="1" t="s">
        <v>74</v>
      </c>
      <c r="BN284" s="1">
        <v>2.706502E7</v>
      </c>
      <c r="BO284" s="1" t="s">
        <v>74</v>
      </c>
      <c r="BP284" s="1" t="s">
        <v>74</v>
      </c>
      <c r="BQ284" s="1" t="s">
        <v>74</v>
      </c>
      <c r="BR284" s="1" t="s">
        <v>74</v>
      </c>
      <c r="BS284" s="1" t="s">
        <v>3088</v>
      </c>
      <c r="BT284" s="1" t="str">
        <f>HYPERLINK("https%3A%2F%2Fwww.webofscience.com%2Fwos%2Fwoscc%2Ffull-record%2FWOS:000374878400003","View Full Record in Web of Science")</f>
        <v>View Full Record in Web of Science</v>
      </c>
    </row>
    <row r="285" ht="12.75" customHeight="1">
      <c r="A285" s="1" t="s">
        <v>72</v>
      </c>
      <c r="B285" s="1" t="s">
        <v>3089</v>
      </c>
      <c r="C285" s="1" t="s">
        <v>74</v>
      </c>
      <c r="D285" s="1" t="s">
        <v>74</v>
      </c>
      <c r="E285" s="1" t="s">
        <v>74</v>
      </c>
      <c r="F285" s="1" t="s">
        <v>3089</v>
      </c>
      <c r="G285" s="1" t="s">
        <v>74</v>
      </c>
      <c r="H285" s="1" t="s">
        <v>74</v>
      </c>
      <c r="I285" s="1" t="s">
        <v>3090</v>
      </c>
      <c r="J285" s="1" t="s">
        <v>3091</v>
      </c>
      <c r="K285" s="1" t="s">
        <v>74</v>
      </c>
      <c r="L285" s="1" t="s">
        <v>74</v>
      </c>
      <c r="M285" s="1" t="s">
        <v>74</v>
      </c>
      <c r="N285" s="1" t="s">
        <v>74</v>
      </c>
      <c r="O285" s="1" t="s">
        <v>74</v>
      </c>
      <c r="P285" s="1" t="s">
        <v>74</v>
      </c>
      <c r="Q285" s="1" t="s">
        <v>74</v>
      </c>
      <c r="R285" s="1" t="s">
        <v>74</v>
      </c>
      <c r="S285" s="1" t="s">
        <v>74</v>
      </c>
      <c r="T285" s="1" t="s">
        <v>74</v>
      </c>
      <c r="U285" s="1" t="s">
        <v>74</v>
      </c>
      <c r="V285" s="1" t="s">
        <v>3092</v>
      </c>
      <c r="W285" s="1" t="s">
        <v>74</v>
      </c>
      <c r="X285" s="1" t="s">
        <v>74</v>
      </c>
      <c r="Y285" s="1" t="s">
        <v>74</v>
      </c>
      <c r="Z285" s="1" t="s">
        <v>74</v>
      </c>
      <c r="AA285" s="1" t="s">
        <v>3093</v>
      </c>
      <c r="AB285" s="1" t="s">
        <v>3094</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3095</v>
      </c>
      <c r="AP285" s="1" t="s">
        <v>74</v>
      </c>
      <c r="AQ285" s="1" t="s">
        <v>74</v>
      </c>
      <c r="AR285" s="1" t="s">
        <v>74</v>
      </c>
      <c r="AS285" s="1" t="s">
        <v>74</v>
      </c>
      <c r="AT285" s="1" t="s">
        <v>202</v>
      </c>
      <c r="AU285" s="1">
        <v>2000.0</v>
      </c>
      <c r="AV285" s="1">
        <v>56.0</v>
      </c>
      <c r="AW285" s="1" t="s">
        <v>74</v>
      </c>
      <c r="AX285" s="1">
        <v>6.0</v>
      </c>
      <c r="AY285" s="1" t="s">
        <v>74</v>
      </c>
      <c r="AZ285" s="1" t="s">
        <v>74</v>
      </c>
      <c r="BA285" s="1" t="s">
        <v>74</v>
      </c>
      <c r="BB285" s="1" t="s">
        <v>3096</v>
      </c>
      <c r="BC285" s="1" t="s">
        <v>3097</v>
      </c>
      <c r="BD285" s="1" t="s">
        <v>74</v>
      </c>
      <c r="BE285" s="1" t="s">
        <v>74</v>
      </c>
      <c r="BF285" s="1" t="s">
        <v>74</v>
      </c>
      <c r="BG285" s="1" t="s">
        <v>74</v>
      </c>
      <c r="BH285" s="1" t="s">
        <v>74</v>
      </c>
      <c r="BI285" s="1" t="s">
        <v>74</v>
      </c>
      <c r="BJ285" s="1" t="s">
        <v>74</v>
      </c>
      <c r="BK285" s="1" t="s">
        <v>74</v>
      </c>
      <c r="BL285" s="1" t="s">
        <v>74</v>
      </c>
      <c r="BM285" s="1" t="s">
        <v>74</v>
      </c>
      <c r="BN285" s="1">
        <v>1.5263112E7</v>
      </c>
      <c r="BO285" s="1" t="s">
        <v>74</v>
      </c>
      <c r="BP285" s="1" t="s">
        <v>74</v>
      </c>
      <c r="BQ285" s="1" t="s">
        <v>74</v>
      </c>
      <c r="BR285" s="1" t="s">
        <v>74</v>
      </c>
      <c r="BS285" s="1" t="s">
        <v>3098</v>
      </c>
      <c r="BT285" s="1" t="str">
        <f>HYPERLINK("https%3A%2F%2Fwww.webofscience.com%2Fwos%2Fwoscc%2Ffull-record%2FWOS:000087633000054","View Full Record in Web of Science")</f>
        <v>View Full Record in Web of Science</v>
      </c>
    </row>
    <row r="286" ht="12.75" customHeight="1">
      <c r="A286" s="1" t="s">
        <v>72</v>
      </c>
      <c r="B286" s="1" t="s">
        <v>3099</v>
      </c>
      <c r="C286" s="1" t="s">
        <v>74</v>
      </c>
      <c r="D286" s="1" t="s">
        <v>74</v>
      </c>
      <c r="E286" s="1" t="s">
        <v>74</v>
      </c>
      <c r="F286" s="1" t="s">
        <v>3100</v>
      </c>
      <c r="G286" s="1" t="s">
        <v>74</v>
      </c>
      <c r="H286" s="1" t="s">
        <v>74</v>
      </c>
      <c r="I286" s="1" t="s">
        <v>3101</v>
      </c>
      <c r="J286" s="1" t="s">
        <v>3102</v>
      </c>
      <c r="K286" s="1" t="s">
        <v>74</v>
      </c>
      <c r="L286" s="1" t="s">
        <v>74</v>
      </c>
      <c r="M286" s="1" t="s">
        <v>74</v>
      </c>
      <c r="N286" s="1" t="s">
        <v>74</v>
      </c>
      <c r="O286" s="1" t="s">
        <v>74</v>
      </c>
      <c r="P286" s="1" t="s">
        <v>74</v>
      </c>
      <c r="Q286" s="1" t="s">
        <v>74</v>
      </c>
      <c r="R286" s="1" t="s">
        <v>74</v>
      </c>
      <c r="S286" s="1" t="s">
        <v>74</v>
      </c>
      <c r="T286" s="1" t="s">
        <v>74</v>
      </c>
      <c r="U286" s="1" t="s">
        <v>74</v>
      </c>
      <c r="V286" s="1" t="s">
        <v>3103</v>
      </c>
      <c r="W286" s="1" t="s">
        <v>74</v>
      </c>
      <c r="X286" s="1" t="s">
        <v>74</v>
      </c>
      <c r="Y286" s="1" t="s">
        <v>74</v>
      </c>
      <c r="Z286" s="1" t="s">
        <v>74</v>
      </c>
      <c r="AA286" s="1" t="s">
        <v>3104</v>
      </c>
      <c r="AB286" s="1" t="s">
        <v>3105</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74</v>
      </c>
      <c r="AP286" s="1" t="s">
        <v>3106</v>
      </c>
      <c r="AQ286" s="1" t="s">
        <v>74</v>
      </c>
      <c r="AR286" s="1" t="s">
        <v>74</v>
      </c>
      <c r="AS286" s="1" t="s">
        <v>74</v>
      </c>
      <c r="AT286" s="1" t="s">
        <v>141</v>
      </c>
      <c r="AU286" s="1">
        <v>2024.0</v>
      </c>
      <c r="AV286" s="1">
        <v>14.0</v>
      </c>
      <c r="AW286" s="1">
        <v>18.0</v>
      </c>
      <c r="AX286" s="1" t="s">
        <v>74</v>
      </c>
      <c r="AY286" s="1" t="s">
        <v>74</v>
      </c>
      <c r="AZ286" s="1" t="s">
        <v>74</v>
      </c>
      <c r="BA286" s="1" t="s">
        <v>74</v>
      </c>
      <c r="BB286" s="1" t="s">
        <v>74</v>
      </c>
      <c r="BC286" s="1" t="s">
        <v>74</v>
      </c>
      <c r="BD286" s="1">
        <v>8289.0</v>
      </c>
      <c r="BE286" s="1" t="s">
        <v>3107</v>
      </c>
      <c r="BF286" s="2" t="str">
        <f>HYPERLINK("http://dx.doi.org/10.3390/app14188289","http://dx.doi.org/10.3390/app14188289")</f>
        <v>http://dx.doi.org/10.3390/app14188289</v>
      </c>
      <c r="BG286" s="1" t="s">
        <v>74</v>
      </c>
      <c r="BH286" s="1" t="s">
        <v>74</v>
      </c>
      <c r="BI286" s="1" t="s">
        <v>74</v>
      </c>
      <c r="BJ286" s="1" t="s">
        <v>74</v>
      </c>
      <c r="BK286" s="1" t="s">
        <v>74</v>
      </c>
      <c r="BL286" s="1" t="s">
        <v>74</v>
      </c>
      <c r="BM286" s="1" t="s">
        <v>74</v>
      </c>
      <c r="BN286" s="1" t="s">
        <v>74</v>
      </c>
      <c r="BO286" s="1" t="s">
        <v>74</v>
      </c>
      <c r="BP286" s="1" t="s">
        <v>74</v>
      </c>
      <c r="BQ286" s="1" t="s">
        <v>74</v>
      </c>
      <c r="BR286" s="1" t="s">
        <v>74</v>
      </c>
      <c r="BS286" s="1" t="s">
        <v>3108</v>
      </c>
      <c r="BT286" s="1" t="str">
        <f>HYPERLINK("https%3A%2F%2Fwww.webofscience.com%2Fwos%2Fwoscc%2Ffull-record%2FWOS:001323271900001","View Full Record in Web of Science")</f>
        <v>View Full Record in Web of Science</v>
      </c>
    </row>
    <row r="287" ht="12.75" customHeight="1">
      <c r="A287" s="1" t="s">
        <v>72</v>
      </c>
      <c r="B287" s="1" t="s">
        <v>3109</v>
      </c>
      <c r="C287" s="1" t="s">
        <v>74</v>
      </c>
      <c r="D287" s="1" t="s">
        <v>74</v>
      </c>
      <c r="E287" s="1" t="s">
        <v>74</v>
      </c>
      <c r="F287" s="1" t="s">
        <v>3110</v>
      </c>
      <c r="G287" s="1" t="s">
        <v>74</v>
      </c>
      <c r="H287" s="1" t="s">
        <v>74</v>
      </c>
      <c r="I287" s="1" t="s">
        <v>3111</v>
      </c>
      <c r="J287" s="1" t="s">
        <v>3112</v>
      </c>
      <c r="K287" s="1" t="s">
        <v>74</v>
      </c>
      <c r="L287" s="1" t="s">
        <v>74</v>
      </c>
      <c r="M287" s="1" t="s">
        <v>74</v>
      </c>
      <c r="N287" s="1" t="s">
        <v>74</v>
      </c>
      <c r="O287" s="1" t="s">
        <v>74</v>
      </c>
      <c r="P287" s="1" t="s">
        <v>74</v>
      </c>
      <c r="Q287" s="1" t="s">
        <v>74</v>
      </c>
      <c r="R287" s="1" t="s">
        <v>74</v>
      </c>
      <c r="S287" s="1" t="s">
        <v>74</v>
      </c>
      <c r="T287" s="1" t="s">
        <v>74</v>
      </c>
      <c r="U287" s="1" t="s">
        <v>74</v>
      </c>
      <c r="V287" s="1" t="s">
        <v>3113</v>
      </c>
      <c r="W287" s="1" t="s">
        <v>74</v>
      </c>
      <c r="X287" s="1" t="s">
        <v>74</v>
      </c>
      <c r="Y287" s="1" t="s">
        <v>74</v>
      </c>
      <c r="Z287" s="1" t="s">
        <v>74</v>
      </c>
      <c r="AA287" s="1" t="s">
        <v>3114</v>
      </c>
      <c r="AB287" s="1" t="s">
        <v>3115</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3116</v>
      </c>
      <c r="AP287" s="1" t="s">
        <v>74</v>
      </c>
      <c r="AQ287" s="1" t="s">
        <v>74</v>
      </c>
      <c r="AR287" s="1" t="s">
        <v>74</v>
      </c>
      <c r="AS287" s="1" t="s">
        <v>74</v>
      </c>
      <c r="AT287" s="1" t="s">
        <v>74</v>
      </c>
      <c r="AU287" s="1">
        <v>2024.0</v>
      </c>
      <c r="AV287" s="1">
        <v>12.0</v>
      </c>
      <c r="AW287" s="1" t="s">
        <v>74</v>
      </c>
      <c r="AX287" s="1" t="s">
        <v>74</v>
      </c>
      <c r="AY287" s="1" t="s">
        <v>74</v>
      </c>
      <c r="AZ287" s="1" t="s">
        <v>74</v>
      </c>
      <c r="BA287" s="1" t="s">
        <v>74</v>
      </c>
      <c r="BB287" s="1" t="s">
        <v>74</v>
      </c>
      <c r="BC287" s="1" t="s">
        <v>74</v>
      </c>
      <c r="BD287" s="1" t="s">
        <v>3117</v>
      </c>
      <c r="BE287" s="1" t="s">
        <v>3118</v>
      </c>
      <c r="BF287" s="2" t="str">
        <f>HYPERLINK("http://dx.doi.org/10.2196/44406","http://dx.doi.org/10.2196/44406")</f>
        <v>http://dx.doi.org/10.2196/44406</v>
      </c>
      <c r="BG287" s="1" t="s">
        <v>74</v>
      </c>
      <c r="BH287" s="1" t="s">
        <v>74</v>
      </c>
      <c r="BI287" s="1" t="s">
        <v>74</v>
      </c>
      <c r="BJ287" s="1" t="s">
        <v>74</v>
      </c>
      <c r="BK287" s="1" t="s">
        <v>74</v>
      </c>
      <c r="BL287" s="1" t="s">
        <v>74</v>
      </c>
      <c r="BM287" s="1" t="s">
        <v>74</v>
      </c>
      <c r="BN287" s="1">
        <v>3.8231538E7</v>
      </c>
      <c r="BO287" s="1" t="s">
        <v>74</v>
      </c>
      <c r="BP287" s="1" t="s">
        <v>74</v>
      </c>
      <c r="BQ287" s="1" t="s">
        <v>74</v>
      </c>
      <c r="BR287" s="1" t="s">
        <v>74</v>
      </c>
      <c r="BS287" s="1" t="s">
        <v>3119</v>
      </c>
      <c r="BT287" s="1" t="str">
        <f>HYPERLINK("https%3A%2F%2Fwww.webofscience.com%2Fwos%2Fwoscc%2Ffull-record%2FWOS:001177656500001","View Full Record in Web of Science")</f>
        <v>View Full Record in Web of Science</v>
      </c>
    </row>
    <row r="288" ht="12.75" customHeight="1">
      <c r="A288" s="1" t="s">
        <v>72</v>
      </c>
      <c r="B288" s="1" t="s">
        <v>3120</v>
      </c>
      <c r="C288" s="1" t="s">
        <v>74</v>
      </c>
      <c r="D288" s="1" t="s">
        <v>74</v>
      </c>
      <c r="E288" s="1" t="s">
        <v>74</v>
      </c>
      <c r="F288" s="1" t="s">
        <v>3121</v>
      </c>
      <c r="G288" s="1" t="s">
        <v>74</v>
      </c>
      <c r="H288" s="1" t="s">
        <v>74</v>
      </c>
      <c r="I288" s="1" t="s">
        <v>3122</v>
      </c>
      <c r="J288" s="1" t="s">
        <v>3123</v>
      </c>
      <c r="K288" s="1" t="s">
        <v>74</v>
      </c>
      <c r="L288" s="1" t="s">
        <v>74</v>
      </c>
      <c r="M288" s="1" t="s">
        <v>74</v>
      </c>
      <c r="N288" s="1" t="s">
        <v>74</v>
      </c>
      <c r="O288" s="1" t="s">
        <v>74</v>
      </c>
      <c r="P288" s="1" t="s">
        <v>74</v>
      </c>
      <c r="Q288" s="1" t="s">
        <v>74</v>
      </c>
      <c r="R288" s="1" t="s">
        <v>74</v>
      </c>
      <c r="S288" s="1" t="s">
        <v>74</v>
      </c>
      <c r="T288" s="1" t="s">
        <v>74</v>
      </c>
      <c r="U288" s="1" t="s">
        <v>74</v>
      </c>
      <c r="V288" s="1" t="s">
        <v>3124</v>
      </c>
      <c r="W288" s="1" t="s">
        <v>74</v>
      </c>
      <c r="X288" s="1" t="s">
        <v>74</v>
      </c>
      <c r="Y288" s="1" t="s">
        <v>74</v>
      </c>
      <c r="Z288" s="1" t="s">
        <v>74</v>
      </c>
      <c r="AA288" s="1" t="s">
        <v>3125</v>
      </c>
      <c r="AB288" s="1" t="s">
        <v>3126</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74</v>
      </c>
      <c r="AP288" s="1" t="s">
        <v>3127</v>
      </c>
      <c r="AQ288" s="1" t="s">
        <v>74</v>
      </c>
      <c r="AR288" s="1" t="s">
        <v>74</v>
      </c>
      <c r="AS288" s="1" t="s">
        <v>74</v>
      </c>
      <c r="AT288" s="1" t="s">
        <v>1051</v>
      </c>
      <c r="AU288" s="1">
        <v>2023.0</v>
      </c>
      <c r="AV288" s="1">
        <v>14.0</v>
      </c>
      <c r="AW288" s="1">
        <v>5.0</v>
      </c>
      <c r="AX288" s="1" t="s">
        <v>74</v>
      </c>
      <c r="AY288" s="1" t="s">
        <v>74</v>
      </c>
      <c r="AZ288" s="1" t="s">
        <v>74</v>
      </c>
      <c r="BA288" s="1" t="s">
        <v>74</v>
      </c>
      <c r="BB288" s="1" t="s">
        <v>74</v>
      </c>
      <c r="BC288" s="1" t="s">
        <v>74</v>
      </c>
      <c r="BD288" s="1">
        <v>1059.0</v>
      </c>
      <c r="BE288" s="1" t="s">
        <v>3128</v>
      </c>
      <c r="BF288" s="2" t="str">
        <f>HYPERLINK("http://dx.doi.org/10.3390/mi14051059","http://dx.doi.org/10.3390/mi14051059")</f>
        <v>http://dx.doi.org/10.3390/mi14051059</v>
      </c>
      <c r="BG288" s="1" t="s">
        <v>74</v>
      </c>
      <c r="BH288" s="1" t="s">
        <v>74</v>
      </c>
      <c r="BI288" s="1" t="s">
        <v>74</v>
      </c>
      <c r="BJ288" s="1" t="s">
        <v>74</v>
      </c>
      <c r="BK288" s="1" t="s">
        <v>74</v>
      </c>
      <c r="BL288" s="1" t="s">
        <v>74</v>
      </c>
      <c r="BM288" s="1" t="s">
        <v>74</v>
      </c>
      <c r="BN288" s="1">
        <v>3.7241682E7</v>
      </c>
      <c r="BO288" s="1" t="s">
        <v>74</v>
      </c>
      <c r="BP288" s="1" t="s">
        <v>74</v>
      </c>
      <c r="BQ288" s="1" t="s">
        <v>74</v>
      </c>
      <c r="BR288" s="1" t="s">
        <v>74</v>
      </c>
      <c r="BS288" s="1" t="s">
        <v>3129</v>
      </c>
      <c r="BT288" s="1" t="str">
        <f>HYPERLINK("https%3A%2F%2Fwww.webofscience.com%2Fwos%2Fwoscc%2Ffull-record%2FWOS:000997248100001","View Full Record in Web of Science")</f>
        <v>View Full Record in Web of Science</v>
      </c>
    </row>
    <row r="289" ht="12.75" customHeight="1">
      <c r="A289" s="1" t="s">
        <v>72</v>
      </c>
      <c r="B289" s="1" t="s">
        <v>3130</v>
      </c>
      <c r="C289" s="1" t="s">
        <v>74</v>
      </c>
      <c r="D289" s="1" t="s">
        <v>74</v>
      </c>
      <c r="E289" s="1" t="s">
        <v>74</v>
      </c>
      <c r="F289" s="1" t="s">
        <v>3131</v>
      </c>
      <c r="G289" s="1" t="s">
        <v>74</v>
      </c>
      <c r="H289" s="1" t="s">
        <v>74</v>
      </c>
      <c r="I289" s="1" t="s">
        <v>3132</v>
      </c>
      <c r="J289" s="1" t="s">
        <v>3133</v>
      </c>
      <c r="K289" s="1" t="s">
        <v>74</v>
      </c>
      <c r="L289" s="1" t="s">
        <v>74</v>
      </c>
      <c r="M289" s="1" t="s">
        <v>74</v>
      </c>
      <c r="N289" s="1" t="s">
        <v>74</v>
      </c>
      <c r="O289" s="1" t="s">
        <v>74</v>
      </c>
      <c r="P289" s="1" t="s">
        <v>74</v>
      </c>
      <c r="Q289" s="1" t="s">
        <v>74</v>
      </c>
      <c r="R289" s="1" t="s">
        <v>74</v>
      </c>
      <c r="S289" s="1" t="s">
        <v>74</v>
      </c>
      <c r="T289" s="1" t="s">
        <v>74</v>
      </c>
      <c r="U289" s="1" t="s">
        <v>74</v>
      </c>
      <c r="V289" s="1" t="s">
        <v>3134</v>
      </c>
      <c r="W289" s="1" t="s">
        <v>74</v>
      </c>
      <c r="X289" s="1" t="s">
        <v>74</v>
      </c>
      <c r="Y289" s="1" t="s">
        <v>74</v>
      </c>
      <c r="Z289" s="1" t="s">
        <v>74</v>
      </c>
      <c r="AA289" s="1" t="s">
        <v>3135</v>
      </c>
      <c r="AB289" s="1" t="s">
        <v>3136</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3137</v>
      </c>
      <c r="AP289" s="1" t="s">
        <v>3138</v>
      </c>
      <c r="AQ289" s="1" t="s">
        <v>74</v>
      </c>
      <c r="AR289" s="1" t="s">
        <v>74</v>
      </c>
      <c r="AS289" s="1" t="s">
        <v>74</v>
      </c>
      <c r="AT289" s="1" t="s">
        <v>346</v>
      </c>
      <c r="AU289" s="1">
        <v>2022.0</v>
      </c>
      <c r="AV289" s="1">
        <v>123.0</v>
      </c>
      <c r="AW289" s="1">
        <v>3.0</v>
      </c>
      <c r="AX289" s="1" t="s">
        <v>74</v>
      </c>
      <c r="AY289" s="1" t="s">
        <v>74</v>
      </c>
      <c r="AZ289" s="1" t="s">
        <v>74</v>
      </c>
      <c r="BA289" s="1" t="s">
        <v>74</v>
      </c>
      <c r="BB289" s="1">
        <v>506.0</v>
      </c>
      <c r="BC289" s="1">
        <v>531.0</v>
      </c>
      <c r="BD289" s="1" t="s">
        <v>74</v>
      </c>
      <c r="BE289" s="1" t="s">
        <v>3139</v>
      </c>
      <c r="BF289" s="2" t="str">
        <f>HYPERLINK("http://dx.doi.org/10.1002/jcb.30191","http://dx.doi.org/10.1002/jcb.30191")</f>
        <v>http://dx.doi.org/10.1002/jcb.30191</v>
      </c>
      <c r="BG289" s="1" t="s">
        <v>74</v>
      </c>
      <c r="BH289" s="1" t="s">
        <v>96</v>
      </c>
      <c r="BI289" s="1" t="s">
        <v>74</v>
      </c>
      <c r="BJ289" s="1" t="s">
        <v>74</v>
      </c>
      <c r="BK289" s="1" t="s">
        <v>74</v>
      </c>
      <c r="BL289" s="1" t="s">
        <v>74</v>
      </c>
      <c r="BM289" s="1" t="s">
        <v>74</v>
      </c>
      <c r="BN289" s="1">
        <v>3.4897783E7</v>
      </c>
      <c r="BO289" s="1" t="s">
        <v>74</v>
      </c>
      <c r="BP289" s="1" t="s">
        <v>74</v>
      </c>
      <c r="BQ289" s="1" t="s">
        <v>74</v>
      </c>
      <c r="BR289" s="1" t="s">
        <v>74</v>
      </c>
      <c r="BS289" s="1" t="s">
        <v>3140</v>
      </c>
      <c r="BT289" s="1" t="str">
        <f>HYPERLINK("https%3A%2F%2Fwww.webofscience.com%2Fwos%2Fwoscc%2Ffull-record%2FWOS:000729481900001","View Full Record in Web of Science")</f>
        <v>View Full Record in Web of Science</v>
      </c>
    </row>
    <row r="290" ht="12.75" customHeight="1">
      <c r="A290" s="1" t="s">
        <v>72</v>
      </c>
      <c r="B290" s="1" t="s">
        <v>3141</v>
      </c>
      <c r="C290" s="1" t="s">
        <v>74</v>
      </c>
      <c r="D290" s="1" t="s">
        <v>74</v>
      </c>
      <c r="E290" s="1" t="s">
        <v>74</v>
      </c>
      <c r="F290" s="1" t="s">
        <v>3142</v>
      </c>
      <c r="G290" s="1" t="s">
        <v>74</v>
      </c>
      <c r="H290" s="1" t="s">
        <v>74</v>
      </c>
      <c r="I290" s="1" t="s">
        <v>3143</v>
      </c>
      <c r="J290" s="1" t="s">
        <v>1204</v>
      </c>
      <c r="K290" s="1" t="s">
        <v>74</v>
      </c>
      <c r="L290" s="1" t="s">
        <v>74</v>
      </c>
      <c r="M290" s="1" t="s">
        <v>74</v>
      </c>
      <c r="N290" s="1" t="s">
        <v>74</v>
      </c>
      <c r="O290" s="1" t="s">
        <v>74</v>
      </c>
      <c r="P290" s="1" t="s">
        <v>74</v>
      </c>
      <c r="Q290" s="1" t="s">
        <v>74</v>
      </c>
      <c r="R290" s="1" t="s">
        <v>74</v>
      </c>
      <c r="S290" s="1" t="s">
        <v>74</v>
      </c>
      <c r="T290" s="1" t="s">
        <v>74</v>
      </c>
      <c r="U290" s="1" t="s">
        <v>74</v>
      </c>
      <c r="V290" s="1" t="s">
        <v>3144</v>
      </c>
      <c r="W290" s="1" t="s">
        <v>74</v>
      </c>
      <c r="X290" s="1" t="s">
        <v>74</v>
      </c>
      <c r="Y290" s="1" t="s">
        <v>74</v>
      </c>
      <c r="Z290" s="1" t="s">
        <v>74</v>
      </c>
      <c r="AA290" s="1" t="s">
        <v>3145</v>
      </c>
      <c r="AB290" s="1" t="s">
        <v>3146</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1208</v>
      </c>
      <c r="AP290" s="1" t="s">
        <v>1209</v>
      </c>
      <c r="AQ290" s="1" t="s">
        <v>74</v>
      </c>
      <c r="AR290" s="1" t="s">
        <v>74</v>
      </c>
      <c r="AS290" s="1" t="s">
        <v>74</v>
      </c>
      <c r="AT290" s="1" t="s">
        <v>264</v>
      </c>
      <c r="AU290" s="1">
        <v>2023.0</v>
      </c>
      <c r="AV290" s="1">
        <v>30.0</v>
      </c>
      <c r="AW290" s="1">
        <v>4.0</v>
      </c>
      <c r="AX290" s="1" t="s">
        <v>74</v>
      </c>
      <c r="AY290" s="1" t="s">
        <v>74</v>
      </c>
      <c r="AZ290" s="1" t="s">
        <v>74</v>
      </c>
      <c r="BA290" s="1" t="s">
        <v>74</v>
      </c>
      <c r="BB290" s="1">
        <v>8601.0</v>
      </c>
      <c r="BC290" s="1">
        <v>8616.0</v>
      </c>
      <c r="BD290" s="1" t="s">
        <v>74</v>
      </c>
      <c r="BE290" s="1" t="s">
        <v>3147</v>
      </c>
      <c r="BF290" s="2" t="str">
        <f>HYPERLINK("http://dx.doi.org/10.1007/s11356-021-17360-2","http://dx.doi.org/10.1007/s11356-021-17360-2")</f>
        <v>http://dx.doi.org/10.1007/s11356-021-17360-2</v>
      </c>
      <c r="BG290" s="1" t="s">
        <v>74</v>
      </c>
      <c r="BH290" s="1" t="s">
        <v>2665</v>
      </c>
      <c r="BI290" s="1" t="s">
        <v>74</v>
      </c>
      <c r="BJ290" s="1" t="s">
        <v>74</v>
      </c>
      <c r="BK290" s="1" t="s">
        <v>74</v>
      </c>
      <c r="BL290" s="1" t="s">
        <v>74</v>
      </c>
      <c r="BM290" s="1" t="s">
        <v>74</v>
      </c>
      <c r="BN290" s="1">
        <v>3.4767162E7</v>
      </c>
      <c r="BO290" s="1" t="s">
        <v>74</v>
      </c>
      <c r="BP290" s="1" t="s">
        <v>74</v>
      </c>
      <c r="BQ290" s="1" t="s">
        <v>74</v>
      </c>
      <c r="BR290" s="1" t="s">
        <v>74</v>
      </c>
      <c r="BS290" s="1" t="s">
        <v>3148</v>
      </c>
      <c r="BT290" s="1" t="str">
        <f>HYPERLINK("https%3A%2F%2Fwww.webofscience.com%2Fwos%2Fwoscc%2Ffull-record%2FWOS:000717921800008","View Full Record in Web of Science")</f>
        <v>View Full Record in Web of Science</v>
      </c>
    </row>
    <row r="291" ht="12.75" customHeight="1">
      <c r="A291" s="1" t="s">
        <v>72</v>
      </c>
      <c r="B291" s="1" t="s">
        <v>3149</v>
      </c>
      <c r="C291" s="1" t="s">
        <v>74</v>
      </c>
      <c r="D291" s="1" t="s">
        <v>74</v>
      </c>
      <c r="E291" s="1" t="s">
        <v>74</v>
      </c>
      <c r="F291" s="1" t="s">
        <v>3150</v>
      </c>
      <c r="G291" s="1" t="s">
        <v>74</v>
      </c>
      <c r="H291" s="1" t="s">
        <v>74</v>
      </c>
      <c r="I291" s="1" t="s">
        <v>3151</v>
      </c>
      <c r="J291" s="1" t="s">
        <v>3152</v>
      </c>
      <c r="K291" s="1" t="s">
        <v>74</v>
      </c>
      <c r="L291" s="1" t="s">
        <v>74</v>
      </c>
      <c r="M291" s="1" t="s">
        <v>74</v>
      </c>
      <c r="N291" s="1" t="s">
        <v>74</v>
      </c>
      <c r="O291" s="1" t="s">
        <v>74</v>
      </c>
      <c r="P291" s="1" t="s">
        <v>74</v>
      </c>
      <c r="Q291" s="1" t="s">
        <v>74</v>
      </c>
      <c r="R291" s="1" t="s">
        <v>74</v>
      </c>
      <c r="S291" s="1" t="s">
        <v>74</v>
      </c>
      <c r="T291" s="1" t="s">
        <v>74</v>
      </c>
      <c r="U291" s="1" t="s">
        <v>74</v>
      </c>
      <c r="V291" s="1" t="s">
        <v>3153</v>
      </c>
      <c r="W291" s="1" t="s">
        <v>74</v>
      </c>
      <c r="X291" s="1" t="s">
        <v>74</v>
      </c>
      <c r="Y291" s="1" t="s">
        <v>74</v>
      </c>
      <c r="Z291" s="1" t="s">
        <v>74</v>
      </c>
      <c r="AA291" s="1" t="s">
        <v>3154</v>
      </c>
      <c r="AB291" s="1" t="s">
        <v>74</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3155</v>
      </c>
      <c r="AP291" s="1" t="s">
        <v>74</v>
      </c>
      <c r="AQ291" s="1" t="s">
        <v>74</v>
      </c>
      <c r="AR291" s="1" t="s">
        <v>74</v>
      </c>
      <c r="AS291" s="1" t="s">
        <v>74</v>
      </c>
      <c r="AT291" s="1" t="s">
        <v>3156</v>
      </c>
      <c r="AU291" s="1">
        <v>2018.0</v>
      </c>
      <c r="AV291" s="1">
        <v>25.0</v>
      </c>
      <c r="AW291" s="1">
        <v>3.0</v>
      </c>
      <c r="AX291" s="1" t="s">
        <v>74</v>
      </c>
      <c r="AY291" s="1" t="s">
        <v>74</v>
      </c>
      <c r="AZ291" s="1" t="s">
        <v>74</v>
      </c>
      <c r="BA291" s="1" t="s">
        <v>74</v>
      </c>
      <c r="BB291" s="1" t="s">
        <v>74</v>
      </c>
      <c r="BC291" s="1" t="s">
        <v>74</v>
      </c>
      <c r="BD291" s="1" t="s">
        <v>3157</v>
      </c>
      <c r="BE291" s="1" t="s">
        <v>74</v>
      </c>
      <c r="BF291" s="1" t="s">
        <v>74</v>
      </c>
      <c r="BG291" s="1" t="s">
        <v>74</v>
      </c>
      <c r="BH291" s="1" t="s">
        <v>74</v>
      </c>
      <c r="BI291" s="1" t="s">
        <v>74</v>
      </c>
      <c r="BJ291" s="1" t="s">
        <v>74</v>
      </c>
      <c r="BK291" s="1" t="s">
        <v>74</v>
      </c>
      <c r="BL291" s="1" t="s">
        <v>74</v>
      </c>
      <c r="BM291" s="1" t="s">
        <v>74</v>
      </c>
      <c r="BN291" s="1" t="s">
        <v>74</v>
      </c>
      <c r="BO291" s="1" t="s">
        <v>74</v>
      </c>
      <c r="BP291" s="1" t="s">
        <v>74</v>
      </c>
      <c r="BQ291" s="1" t="s">
        <v>74</v>
      </c>
      <c r="BR291" s="1" t="s">
        <v>74</v>
      </c>
      <c r="BS291" s="1" t="s">
        <v>3158</v>
      </c>
      <c r="BT291" s="1" t="str">
        <f>HYPERLINK("https%3A%2F%2Fwww.webofscience.com%2Fwos%2Fwoscc%2Ffull-record%2FWOS:000442822900008","View Full Record in Web of Science")</f>
        <v>View Full Record in Web of Science</v>
      </c>
    </row>
    <row r="292" ht="12.75" customHeight="1">
      <c r="A292" s="1" t="s">
        <v>72</v>
      </c>
      <c r="B292" s="1" t="s">
        <v>3159</v>
      </c>
      <c r="C292" s="1" t="s">
        <v>74</v>
      </c>
      <c r="D292" s="1" t="s">
        <v>74</v>
      </c>
      <c r="E292" s="1" t="s">
        <v>74</v>
      </c>
      <c r="F292" s="1" t="s">
        <v>3160</v>
      </c>
      <c r="G292" s="1" t="s">
        <v>74</v>
      </c>
      <c r="H292" s="1" t="s">
        <v>74</v>
      </c>
      <c r="I292" s="1" t="s">
        <v>3161</v>
      </c>
      <c r="J292" s="1" t="s">
        <v>3162</v>
      </c>
      <c r="K292" s="1" t="s">
        <v>74</v>
      </c>
      <c r="L292" s="1" t="s">
        <v>74</v>
      </c>
      <c r="M292" s="1" t="s">
        <v>74</v>
      </c>
      <c r="N292" s="1" t="s">
        <v>74</v>
      </c>
      <c r="O292" s="1" t="s">
        <v>74</v>
      </c>
      <c r="P292" s="1" t="s">
        <v>74</v>
      </c>
      <c r="Q292" s="1" t="s">
        <v>74</v>
      </c>
      <c r="R292" s="1" t="s">
        <v>74</v>
      </c>
      <c r="S292" s="1" t="s">
        <v>74</v>
      </c>
      <c r="T292" s="1" t="s">
        <v>74</v>
      </c>
      <c r="U292" s="1" t="s">
        <v>74</v>
      </c>
      <c r="V292" s="1" t="s">
        <v>3163</v>
      </c>
      <c r="W292" s="1" t="s">
        <v>74</v>
      </c>
      <c r="X292" s="1" t="s">
        <v>74</v>
      </c>
      <c r="Y292" s="1" t="s">
        <v>74</v>
      </c>
      <c r="Z292" s="1" t="s">
        <v>74</v>
      </c>
      <c r="AA292" s="1" t="s">
        <v>3164</v>
      </c>
      <c r="AB292" s="1" t="s">
        <v>3165</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3166</v>
      </c>
      <c r="AP292" s="1" t="s">
        <v>3167</v>
      </c>
      <c r="AQ292" s="1" t="s">
        <v>74</v>
      </c>
      <c r="AR292" s="1" t="s">
        <v>74</v>
      </c>
      <c r="AS292" s="1" t="s">
        <v>74</v>
      </c>
      <c r="AT292" s="1" t="s">
        <v>94</v>
      </c>
      <c r="AU292" s="1">
        <v>2008.0</v>
      </c>
      <c r="AV292" s="1">
        <v>63.0</v>
      </c>
      <c r="AW292" s="1">
        <v>12.0</v>
      </c>
      <c r="AX292" s="1" t="s">
        <v>74</v>
      </c>
      <c r="AY292" s="1" t="s">
        <v>74</v>
      </c>
      <c r="AZ292" s="1" t="s">
        <v>74</v>
      </c>
      <c r="BA292" s="1" t="s">
        <v>74</v>
      </c>
      <c r="BB292" s="1">
        <v>1299.0</v>
      </c>
      <c r="BC292" s="1">
        <v>1306.0</v>
      </c>
      <c r="BD292" s="1" t="s">
        <v>74</v>
      </c>
      <c r="BE292" s="1" t="s">
        <v>3168</v>
      </c>
      <c r="BF292" s="2" t="str">
        <f>HYPERLINK("http://dx.doi.org/10.1093/gerona/63.12.1299","http://dx.doi.org/10.1093/gerona/63.12.1299")</f>
        <v>http://dx.doi.org/10.1093/gerona/63.12.1299</v>
      </c>
      <c r="BG292" s="1" t="s">
        <v>74</v>
      </c>
      <c r="BH292" s="1" t="s">
        <v>74</v>
      </c>
      <c r="BI292" s="1" t="s">
        <v>74</v>
      </c>
      <c r="BJ292" s="1" t="s">
        <v>74</v>
      </c>
      <c r="BK292" s="1" t="s">
        <v>74</v>
      </c>
      <c r="BL292" s="1" t="s">
        <v>74</v>
      </c>
      <c r="BM292" s="1" t="s">
        <v>74</v>
      </c>
      <c r="BN292" s="1">
        <v>1.9126842E7</v>
      </c>
      <c r="BO292" s="1" t="s">
        <v>74</v>
      </c>
      <c r="BP292" s="1" t="s">
        <v>74</v>
      </c>
      <c r="BQ292" s="1" t="s">
        <v>74</v>
      </c>
      <c r="BR292" s="1" t="s">
        <v>74</v>
      </c>
      <c r="BS292" s="1" t="s">
        <v>3169</v>
      </c>
      <c r="BT292" s="1" t="str">
        <f>HYPERLINK("https%3A%2F%2Fwww.webofscience.com%2Fwos%2Fwoscc%2Ffull-record%2FWOS:000262535400004","View Full Record in Web of Science")</f>
        <v>View Full Record in Web of Science</v>
      </c>
    </row>
    <row r="293" ht="12.75" customHeight="1">
      <c r="A293" s="1" t="s">
        <v>72</v>
      </c>
      <c r="B293" s="1" t="s">
        <v>3170</v>
      </c>
      <c r="C293" s="1" t="s">
        <v>74</v>
      </c>
      <c r="D293" s="1" t="s">
        <v>74</v>
      </c>
      <c r="E293" s="1" t="s">
        <v>74</v>
      </c>
      <c r="F293" s="1" t="s">
        <v>3171</v>
      </c>
      <c r="G293" s="1" t="s">
        <v>74</v>
      </c>
      <c r="H293" s="1" t="s">
        <v>74</v>
      </c>
      <c r="I293" s="1" t="s">
        <v>3172</v>
      </c>
      <c r="J293" s="1" t="s">
        <v>3173</v>
      </c>
      <c r="K293" s="1" t="s">
        <v>74</v>
      </c>
      <c r="L293" s="1" t="s">
        <v>74</v>
      </c>
      <c r="M293" s="1" t="s">
        <v>74</v>
      </c>
      <c r="N293" s="1" t="s">
        <v>74</v>
      </c>
      <c r="O293" s="1" t="s">
        <v>74</v>
      </c>
      <c r="P293" s="1" t="s">
        <v>74</v>
      </c>
      <c r="Q293" s="1" t="s">
        <v>74</v>
      </c>
      <c r="R293" s="1" t="s">
        <v>74</v>
      </c>
      <c r="S293" s="1" t="s">
        <v>74</v>
      </c>
      <c r="T293" s="1" t="s">
        <v>74</v>
      </c>
      <c r="U293" s="1" t="s">
        <v>74</v>
      </c>
      <c r="V293" s="1" t="s">
        <v>3174</v>
      </c>
      <c r="W293" s="1" t="s">
        <v>74</v>
      </c>
      <c r="X293" s="1" t="s">
        <v>74</v>
      </c>
      <c r="Y293" s="1" t="s">
        <v>74</v>
      </c>
      <c r="Z293" s="1" t="s">
        <v>74</v>
      </c>
      <c r="AA293" s="1" t="s">
        <v>3175</v>
      </c>
      <c r="AB293" s="1" t="s">
        <v>3176</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3177</v>
      </c>
      <c r="AP293" s="1" t="s">
        <v>3178</v>
      </c>
      <c r="AQ293" s="1" t="s">
        <v>74</v>
      </c>
      <c r="AR293" s="1" t="s">
        <v>74</v>
      </c>
      <c r="AS293" s="1" t="s">
        <v>74</v>
      </c>
      <c r="AT293" s="1" t="s">
        <v>202</v>
      </c>
      <c r="AU293" s="1">
        <v>2008.0</v>
      </c>
      <c r="AV293" s="1">
        <v>8.0</v>
      </c>
      <c r="AW293" s="1">
        <v>6.0</v>
      </c>
      <c r="AX293" s="1" t="s">
        <v>74</v>
      </c>
      <c r="AY293" s="1" t="s">
        <v>74</v>
      </c>
      <c r="AZ293" s="1" t="s">
        <v>74</v>
      </c>
      <c r="BA293" s="1" t="s">
        <v>74</v>
      </c>
      <c r="BB293" s="1">
        <v>2836.0</v>
      </c>
      <c r="BC293" s="1">
        <v>2857.0</v>
      </c>
      <c r="BD293" s="1" t="s">
        <v>74</v>
      </c>
      <c r="BE293" s="1" t="s">
        <v>3179</v>
      </c>
      <c r="BF293" s="2" t="str">
        <f>HYPERLINK("http://dx.doi.org/10.1166/jnn.2008.017","http://dx.doi.org/10.1166/jnn.2008.017")</f>
        <v>http://dx.doi.org/10.1166/jnn.2008.017</v>
      </c>
      <c r="BG293" s="1" t="s">
        <v>74</v>
      </c>
      <c r="BH293" s="1" t="s">
        <v>74</v>
      </c>
      <c r="BI293" s="1" t="s">
        <v>74</v>
      </c>
      <c r="BJ293" s="1" t="s">
        <v>74</v>
      </c>
      <c r="BK293" s="1" t="s">
        <v>74</v>
      </c>
      <c r="BL293" s="1" t="s">
        <v>74</v>
      </c>
      <c r="BM293" s="1" t="s">
        <v>74</v>
      </c>
      <c r="BN293" s="1">
        <v>1.8681019E7</v>
      </c>
      <c r="BO293" s="1" t="s">
        <v>74</v>
      </c>
      <c r="BP293" s="1" t="s">
        <v>74</v>
      </c>
      <c r="BQ293" s="1" t="s">
        <v>74</v>
      </c>
      <c r="BR293" s="1" t="s">
        <v>74</v>
      </c>
      <c r="BS293" s="1" t="s">
        <v>3180</v>
      </c>
      <c r="BT293" s="1" t="str">
        <f>HYPERLINK("https%3A%2F%2Fwww.webofscience.com%2Fwos%2Fwoscc%2Ffull-record%2FWOS:000257271600009","View Full Record in Web of Science")</f>
        <v>View Full Record in Web of Science</v>
      </c>
    </row>
    <row r="294" ht="12.75" customHeight="1">
      <c r="A294" s="1" t="s">
        <v>72</v>
      </c>
      <c r="B294" s="1" t="s">
        <v>3181</v>
      </c>
      <c r="C294" s="1" t="s">
        <v>74</v>
      </c>
      <c r="D294" s="1" t="s">
        <v>74</v>
      </c>
      <c r="E294" s="1" t="s">
        <v>74</v>
      </c>
      <c r="F294" s="1" t="s">
        <v>3182</v>
      </c>
      <c r="G294" s="1" t="s">
        <v>74</v>
      </c>
      <c r="H294" s="1" t="s">
        <v>74</v>
      </c>
      <c r="I294" s="1" t="s">
        <v>3183</v>
      </c>
      <c r="J294" s="1" t="s">
        <v>3184</v>
      </c>
      <c r="K294" s="1" t="s">
        <v>74</v>
      </c>
      <c r="L294" s="1" t="s">
        <v>74</v>
      </c>
      <c r="M294" s="1" t="s">
        <v>74</v>
      </c>
      <c r="N294" s="1" t="s">
        <v>74</v>
      </c>
      <c r="O294" s="1" t="s">
        <v>74</v>
      </c>
      <c r="P294" s="1" t="s">
        <v>74</v>
      </c>
      <c r="Q294" s="1" t="s">
        <v>74</v>
      </c>
      <c r="R294" s="1" t="s">
        <v>74</v>
      </c>
      <c r="S294" s="1" t="s">
        <v>74</v>
      </c>
      <c r="T294" s="1" t="s">
        <v>74</v>
      </c>
      <c r="U294" s="1" t="s">
        <v>74</v>
      </c>
      <c r="V294" s="1" t="s">
        <v>3185</v>
      </c>
      <c r="W294" s="1" t="s">
        <v>74</v>
      </c>
      <c r="X294" s="1" t="s">
        <v>74</v>
      </c>
      <c r="Y294" s="1" t="s">
        <v>74</v>
      </c>
      <c r="Z294" s="1" t="s">
        <v>74</v>
      </c>
      <c r="AA294" s="1" t="s">
        <v>3186</v>
      </c>
      <c r="AB294" s="1" t="s">
        <v>3187</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3188</v>
      </c>
      <c r="AP294" s="1" t="s">
        <v>3189</v>
      </c>
      <c r="AQ294" s="1" t="s">
        <v>74</v>
      </c>
      <c r="AR294" s="1" t="s">
        <v>74</v>
      </c>
      <c r="AS294" s="1" t="s">
        <v>74</v>
      </c>
      <c r="AT294" s="1" t="s">
        <v>346</v>
      </c>
      <c r="AU294" s="1">
        <v>2022.0</v>
      </c>
      <c r="AV294" s="1">
        <v>58.0</v>
      </c>
      <c r="AW294" s="1">
        <v>3.0</v>
      </c>
      <c r="AX294" s="1" t="s">
        <v>74</v>
      </c>
      <c r="AY294" s="1" t="s">
        <v>74</v>
      </c>
      <c r="AZ294" s="1" t="s">
        <v>74</v>
      </c>
      <c r="BA294" s="1" t="s">
        <v>74</v>
      </c>
      <c r="BB294" s="1" t="s">
        <v>74</v>
      </c>
      <c r="BC294" s="1" t="s">
        <v>74</v>
      </c>
      <c r="BD294" s="1">
        <v>378.0</v>
      </c>
      <c r="BE294" s="1" t="s">
        <v>3190</v>
      </c>
      <c r="BF294" s="2" t="str">
        <f>HYPERLINK("http://dx.doi.org/10.3390/medicina58030378","http://dx.doi.org/10.3390/medicina58030378")</f>
        <v>http://dx.doi.org/10.3390/medicina58030378</v>
      </c>
      <c r="BG294" s="1" t="s">
        <v>74</v>
      </c>
      <c r="BH294" s="1" t="s">
        <v>74</v>
      </c>
      <c r="BI294" s="1" t="s">
        <v>74</v>
      </c>
      <c r="BJ294" s="1" t="s">
        <v>74</v>
      </c>
      <c r="BK294" s="1" t="s">
        <v>74</v>
      </c>
      <c r="BL294" s="1" t="s">
        <v>74</v>
      </c>
      <c r="BM294" s="1" t="s">
        <v>74</v>
      </c>
      <c r="BN294" s="1">
        <v>3.5334553E7</v>
      </c>
      <c r="BO294" s="1" t="s">
        <v>74</v>
      </c>
      <c r="BP294" s="1" t="s">
        <v>74</v>
      </c>
      <c r="BQ294" s="1" t="s">
        <v>74</v>
      </c>
      <c r="BR294" s="1" t="s">
        <v>74</v>
      </c>
      <c r="BS294" s="1" t="s">
        <v>3191</v>
      </c>
      <c r="BT294" s="1" t="str">
        <f>HYPERLINK("https%3A%2F%2Fwww.webofscience.com%2Fwos%2Fwoscc%2Ffull-record%2FWOS:000778263400001","View Full Record in Web of Science")</f>
        <v>View Full Record in Web of Science</v>
      </c>
    </row>
    <row r="295" ht="12.75" customHeight="1">
      <c r="A295" s="1" t="s">
        <v>72</v>
      </c>
      <c r="B295" s="1" t="s">
        <v>3192</v>
      </c>
      <c r="C295" s="1" t="s">
        <v>74</v>
      </c>
      <c r="D295" s="1" t="s">
        <v>74</v>
      </c>
      <c r="E295" s="1" t="s">
        <v>74</v>
      </c>
      <c r="F295" s="1" t="s">
        <v>3193</v>
      </c>
      <c r="G295" s="1" t="s">
        <v>74</v>
      </c>
      <c r="H295" s="1" t="s">
        <v>74</v>
      </c>
      <c r="I295" s="1" t="s">
        <v>3194</v>
      </c>
      <c r="J295" s="1" t="s">
        <v>3195</v>
      </c>
      <c r="K295" s="1" t="s">
        <v>74</v>
      </c>
      <c r="L295" s="1" t="s">
        <v>74</v>
      </c>
      <c r="M295" s="1" t="s">
        <v>74</v>
      </c>
      <c r="N295" s="1" t="s">
        <v>74</v>
      </c>
      <c r="O295" s="1" t="s">
        <v>74</v>
      </c>
      <c r="P295" s="1" t="s">
        <v>74</v>
      </c>
      <c r="Q295" s="1" t="s">
        <v>74</v>
      </c>
      <c r="R295" s="1" t="s">
        <v>74</v>
      </c>
      <c r="S295" s="1" t="s">
        <v>74</v>
      </c>
      <c r="T295" s="1" t="s">
        <v>74</v>
      </c>
      <c r="U295" s="1" t="s">
        <v>74</v>
      </c>
      <c r="V295" s="1" t="s">
        <v>3196</v>
      </c>
      <c r="W295" s="1" t="s">
        <v>74</v>
      </c>
      <c r="X295" s="1" t="s">
        <v>74</v>
      </c>
      <c r="Y295" s="1" t="s">
        <v>74</v>
      </c>
      <c r="Z295" s="1" t="s">
        <v>74</v>
      </c>
      <c r="AA295" s="1" t="s">
        <v>3197</v>
      </c>
      <c r="AB295" s="1" t="s">
        <v>3198</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3199</v>
      </c>
      <c r="AP295" s="1" t="s">
        <v>3200</v>
      </c>
      <c r="AQ295" s="1" t="s">
        <v>74</v>
      </c>
      <c r="AR295" s="1" t="s">
        <v>74</v>
      </c>
      <c r="AS295" s="1" t="s">
        <v>74</v>
      </c>
      <c r="AT295" s="1" t="s">
        <v>392</v>
      </c>
      <c r="AU295" s="1">
        <v>2021.0</v>
      </c>
      <c r="AV295" s="1">
        <v>32.0</v>
      </c>
      <c r="AW295" s="1">
        <v>4.0</v>
      </c>
      <c r="AX295" s="1" t="s">
        <v>74</v>
      </c>
      <c r="AY295" s="1" t="s">
        <v>74</v>
      </c>
      <c r="AZ295" s="1" t="s">
        <v>74</v>
      </c>
      <c r="BA295" s="1" t="s">
        <v>74</v>
      </c>
      <c r="BB295" s="1">
        <v>1690.0</v>
      </c>
      <c r="BC295" s="1">
        <v>1711.0</v>
      </c>
      <c r="BD295" s="1" t="s">
        <v>74</v>
      </c>
      <c r="BE295" s="1" t="s">
        <v>3201</v>
      </c>
      <c r="BF295" s="2" t="str">
        <f>HYPERLINK("http://dx.doi.org/10.1002/pat.5206","http://dx.doi.org/10.1002/pat.5206")</f>
        <v>http://dx.doi.org/10.1002/pat.5206</v>
      </c>
      <c r="BG295" s="1" t="s">
        <v>74</v>
      </c>
      <c r="BH295" s="1" t="s">
        <v>3202</v>
      </c>
      <c r="BI295" s="1" t="s">
        <v>74</v>
      </c>
      <c r="BJ295" s="1" t="s">
        <v>74</v>
      </c>
      <c r="BK295" s="1" t="s">
        <v>74</v>
      </c>
      <c r="BL295" s="1" t="s">
        <v>74</v>
      </c>
      <c r="BM295" s="1" t="s">
        <v>74</v>
      </c>
      <c r="BN295" s="1" t="s">
        <v>74</v>
      </c>
      <c r="BO295" s="1" t="s">
        <v>74</v>
      </c>
      <c r="BP295" s="1" t="s">
        <v>74</v>
      </c>
      <c r="BQ295" s="1" t="s">
        <v>74</v>
      </c>
      <c r="BR295" s="1" t="s">
        <v>74</v>
      </c>
      <c r="BS295" s="1" t="s">
        <v>3203</v>
      </c>
      <c r="BT295" s="1" t="str">
        <f>HYPERLINK("https%3A%2F%2Fwww.webofscience.com%2Fwos%2Fwoscc%2Ffull-record%2FWOS:000604864600001","View Full Record in Web of Science")</f>
        <v>View Full Record in Web of Science</v>
      </c>
    </row>
    <row r="296" ht="12.75" customHeight="1">
      <c r="A296" s="1" t="s">
        <v>2882</v>
      </c>
      <c r="B296" s="1" t="s">
        <v>3204</v>
      </c>
      <c r="C296" s="1" t="s">
        <v>74</v>
      </c>
      <c r="D296" s="1" t="s">
        <v>3205</v>
      </c>
      <c r="E296" s="1" t="s">
        <v>74</v>
      </c>
      <c r="F296" s="1" t="s">
        <v>3206</v>
      </c>
      <c r="G296" s="1" t="s">
        <v>74</v>
      </c>
      <c r="H296" s="1" t="s">
        <v>74</v>
      </c>
      <c r="I296" s="1" t="s">
        <v>3207</v>
      </c>
      <c r="J296" s="1" t="s">
        <v>3208</v>
      </c>
      <c r="K296" s="1" t="s">
        <v>74</v>
      </c>
      <c r="L296" s="1" t="s">
        <v>74</v>
      </c>
      <c r="M296" s="1" t="s">
        <v>74</v>
      </c>
      <c r="N296" s="1" t="s">
        <v>74</v>
      </c>
      <c r="O296" s="1" t="s">
        <v>74</v>
      </c>
      <c r="P296" s="1" t="s">
        <v>74</v>
      </c>
      <c r="Q296" s="1" t="s">
        <v>74</v>
      </c>
      <c r="R296" s="1" t="s">
        <v>74</v>
      </c>
      <c r="S296" s="1" t="s">
        <v>74</v>
      </c>
      <c r="T296" s="1" t="s">
        <v>74</v>
      </c>
      <c r="U296" s="1" t="s">
        <v>74</v>
      </c>
      <c r="V296" s="1" t="s">
        <v>3209</v>
      </c>
      <c r="W296" s="1" t="s">
        <v>74</v>
      </c>
      <c r="X296" s="1" t="s">
        <v>74</v>
      </c>
      <c r="Y296" s="1" t="s">
        <v>74</v>
      </c>
      <c r="Z296" s="1" t="s">
        <v>74</v>
      </c>
      <c r="AA296" s="1" t="s">
        <v>3210</v>
      </c>
      <c r="AB296" s="1" t="s">
        <v>74</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74</v>
      </c>
      <c r="AP296" s="1" t="s">
        <v>74</v>
      </c>
      <c r="AQ296" s="1" t="s">
        <v>3211</v>
      </c>
      <c r="AR296" s="1" t="s">
        <v>74</v>
      </c>
      <c r="AS296" s="1" t="s">
        <v>74</v>
      </c>
      <c r="AT296" s="1" t="s">
        <v>74</v>
      </c>
      <c r="AU296" s="1">
        <v>2021.0</v>
      </c>
      <c r="AV296" s="1" t="s">
        <v>74</v>
      </c>
      <c r="AW296" s="1" t="s">
        <v>74</v>
      </c>
      <c r="AX296" s="1" t="s">
        <v>74</v>
      </c>
      <c r="AY296" s="1" t="s">
        <v>74</v>
      </c>
      <c r="AZ296" s="1" t="s">
        <v>74</v>
      </c>
      <c r="BA296" s="1" t="s">
        <v>74</v>
      </c>
      <c r="BB296" s="1">
        <v>49.0</v>
      </c>
      <c r="BC296" s="1">
        <v>61.0</v>
      </c>
      <c r="BD296" s="1" t="s">
        <v>74</v>
      </c>
      <c r="BE296" s="1" t="s">
        <v>74</v>
      </c>
      <c r="BF296" s="1" t="s">
        <v>74</v>
      </c>
      <c r="BG296" s="1" t="s">
        <v>3212</v>
      </c>
      <c r="BH296" s="1" t="s">
        <v>74</v>
      </c>
      <c r="BI296" s="1" t="s">
        <v>74</v>
      </c>
      <c r="BJ296" s="1" t="s">
        <v>74</v>
      </c>
      <c r="BK296" s="1" t="s">
        <v>74</v>
      </c>
      <c r="BL296" s="1" t="s">
        <v>74</v>
      </c>
      <c r="BM296" s="1" t="s">
        <v>74</v>
      </c>
      <c r="BN296" s="1" t="s">
        <v>74</v>
      </c>
      <c r="BO296" s="1" t="s">
        <v>74</v>
      </c>
      <c r="BP296" s="1" t="s">
        <v>74</v>
      </c>
      <c r="BQ296" s="1" t="s">
        <v>74</v>
      </c>
      <c r="BR296" s="1" t="s">
        <v>74</v>
      </c>
      <c r="BS296" s="1" t="s">
        <v>3213</v>
      </c>
      <c r="BT296" s="1" t="str">
        <f>HYPERLINK("https%3A%2F%2Fwww.webofscience.com%2Fwos%2Fwoscc%2Ffull-record%2FWOS:000762613700004","View Full Record in Web of Science")</f>
        <v>View Full Record in Web of Science</v>
      </c>
    </row>
    <row r="297" ht="12.75" customHeight="1">
      <c r="A297" s="1" t="s">
        <v>72</v>
      </c>
      <c r="B297" s="1" t="s">
        <v>3214</v>
      </c>
      <c r="C297" s="1" t="s">
        <v>74</v>
      </c>
      <c r="D297" s="1" t="s">
        <v>74</v>
      </c>
      <c r="E297" s="1" t="s">
        <v>74</v>
      </c>
      <c r="F297" s="1" t="s">
        <v>3215</v>
      </c>
      <c r="G297" s="1" t="s">
        <v>74</v>
      </c>
      <c r="H297" s="1" t="s">
        <v>74</v>
      </c>
      <c r="I297" s="1" t="s">
        <v>3216</v>
      </c>
      <c r="J297" s="1" t="s">
        <v>3217</v>
      </c>
      <c r="K297" s="1" t="s">
        <v>74</v>
      </c>
      <c r="L297" s="1" t="s">
        <v>74</v>
      </c>
      <c r="M297" s="1" t="s">
        <v>74</v>
      </c>
      <c r="N297" s="1" t="s">
        <v>74</v>
      </c>
      <c r="O297" s="1" t="s">
        <v>74</v>
      </c>
      <c r="P297" s="1" t="s">
        <v>74</v>
      </c>
      <c r="Q297" s="1" t="s">
        <v>74</v>
      </c>
      <c r="R297" s="1" t="s">
        <v>74</v>
      </c>
      <c r="S297" s="1" t="s">
        <v>74</v>
      </c>
      <c r="T297" s="1" t="s">
        <v>74</v>
      </c>
      <c r="U297" s="1" t="s">
        <v>74</v>
      </c>
      <c r="V297" s="1" t="s">
        <v>3218</v>
      </c>
      <c r="W297" s="1" t="s">
        <v>74</v>
      </c>
      <c r="X297" s="1" t="s">
        <v>74</v>
      </c>
      <c r="Y297" s="1" t="s">
        <v>74</v>
      </c>
      <c r="Z297" s="1" t="s">
        <v>74</v>
      </c>
      <c r="AA297" s="1" t="s">
        <v>3219</v>
      </c>
      <c r="AB297" s="1" t="s">
        <v>3220</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74</v>
      </c>
      <c r="AP297" s="1" t="s">
        <v>3221</v>
      </c>
      <c r="AQ297" s="1" t="s">
        <v>74</v>
      </c>
      <c r="AR297" s="1" t="s">
        <v>74</v>
      </c>
      <c r="AS297" s="1" t="s">
        <v>74</v>
      </c>
      <c r="AT297" s="1" t="s">
        <v>264</v>
      </c>
      <c r="AU297" s="1">
        <v>2022.0</v>
      </c>
      <c r="AV297" s="1">
        <v>14.0</v>
      </c>
      <c r="AW297" s="1">
        <v>1.0</v>
      </c>
      <c r="AX297" s="1" t="s">
        <v>74</v>
      </c>
      <c r="AY297" s="1" t="s">
        <v>74</v>
      </c>
      <c r="AZ297" s="1" t="s">
        <v>74</v>
      </c>
      <c r="BA297" s="1" t="s">
        <v>74</v>
      </c>
      <c r="BB297" s="1" t="s">
        <v>74</v>
      </c>
      <c r="BC297" s="1" t="s">
        <v>74</v>
      </c>
      <c r="BD297" s="1">
        <v>413.0</v>
      </c>
      <c r="BE297" s="1" t="s">
        <v>3222</v>
      </c>
      <c r="BF297" s="2" t="str">
        <f>HYPERLINK("http://dx.doi.org/10.3390/su14010413","http://dx.doi.org/10.3390/su14010413")</f>
        <v>http://dx.doi.org/10.3390/su14010413</v>
      </c>
      <c r="BG297" s="1" t="s">
        <v>74</v>
      </c>
      <c r="BH297" s="1" t="s">
        <v>74</v>
      </c>
      <c r="BI297" s="1" t="s">
        <v>74</v>
      </c>
      <c r="BJ297" s="1" t="s">
        <v>74</v>
      </c>
      <c r="BK297" s="1" t="s">
        <v>74</v>
      </c>
      <c r="BL297" s="1" t="s">
        <v>74</v>
      </c>
      <c r="BM297" s="1" t="s">
        <v>74</v>
      </c>
      <c r="BN297" s="1" t="s">
        <v>74</v>
      </c>
      <c r="BO297" s="1" t="s">
        <v>74</v>
      </c>
      <c r="BP297" s="1" t="s">
        <v>74</v>
      </c>
      <c r="BQ297" s="1" t="s">
        <v>74</v>
      </c>
      <c r="BR297" s="1" t="s">
        <v>74</v>
      </c>
      <c r="BS297" s="1" t="s">
        <v>3223</v>
      </c>
      <c r="BT297" s="1" t="str">
        <f>HYPERLINK("https%3A%2F%2Fwww.webofscience.com%2Fwos%2Fwoscc%2Ffull-record%2FWOS:000751048700001","View Full Record in Web of Science")</f>
        <v>View Full Record in Web of Science</v>
      </c>
    </row>
    <row r="298" ht="12.75" customHeight="1">
      <c r="A298" s="1" t="s">
        <v>72</v>
      </c>
      <c r="B298" s="1" t="s">
        <v>3224</v>
      </c>
      <c r="C298" s="1" t="s">
        <v>74</v>
      </c>
      <c r="D298" s="1" t="s">
        <v>74</v>
      </c>
      <c r="E298" s="1" t="s">
        <v>74</v>
      </c>
      <c r="F298" s="1" t="s">
        <v>3225</v>
      </c>
      <c r="G298" s="1" t="s">
        <v>74</v>
      </c>
      <c r="H298" s="1" t="s">
        <v>74</v>
      </c>
      <c r="I298" s="1" t="s">
        <v>3226</v>
      </c>
      <c r="J298" s="1" t="s">
        <v>3227</v>
      </c>
      <c r="K298" s="1" t="s">
        <v>74</v>
      </c>
      <c r="L298" s="1" t="s">
        <v>74</v>
      </c>
      <c r="M298" s="1" t="s">
        <v>74</v>
      </c>
      <c r="N298" s="1" t="s">
        <v>74</v>
      </c>
      <c r="O298" s="1" t="s">
        <v>74</v>
      </c>
      <c r="P298" s="1" t="s">
        <v>74</v>
      </c>
      <c r="Q298" s="1" t="s">
        <v>74</v>
      </c>
      <c r="R298" s="1" t="s">
        <v>74</v>
      </c>
      <c r="S298" s="1" t="s">
        <v>74</v>
      </c>
      <c r="T298" s="1" t="s">
        <v>74</v>
      </c>
      <c r="U298" s="1" t="s">
        <v>74</v>
      </c>
      <c r="V298" s="1" t="s">
        <v>3228</v>
      </c>
      <c r="W298" s="1" t="s">
        <v>74</v>
      </c>
      <c r="X298" s="1" t="s">
        <v>74</v>
      </c>
      <c r="Y298" s="1" t="s">
        <v>74</v>
      </c>
      <c r="Z298" s="1" t="s">
        <v>74</v>
      </c>
      <c r="AA298" s="1" t="s">
        <v>3229</v>
      </c>
      <c r="AB298" s="1" t="s">
        <v>3230</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74</v>
      </c>
      <c r="AP298" s="1" t="s">
        <v>3231</v>
      </c>
      <c r="AQ298" s="1" t="s">
        <v>74</v>
      </c>
      <c r="AR298" s="1" t="s">
        <v>74</v>
      </c>
      <c r="AS298" s="1" t="s">
        <v>74</v>
      </c>
      <c r="AT298" s="1" t="s">
        <v>447</v>
      </c>
      <c r="AU298" s="1">
        <v>2019.0</v>
      </c>
      <c r="AV298" s="1">
        <v>2.0</v>
      </c>
      <c r="AW298" s="1" t="s">
        <v>3232</v>
      </c>
      <c r="AX298" s="1" t="s">
        <v>74</v>
      </c>
      <c r="AY298" s="1" t="s">
        <v>74</v>
      </c>
      <c r="AZ298" s="1" t="s">
        <v>448</v>
      </c>
      <c r="BA298" s="1" t="s">
        <v>74</v>
      </c>
      <c r="BB298" s="1" t="s">
        <v>74</v>
      </c>
      <c r="BC298" s="1" t="s">
        <v>74</v>
      </c>
      <c r="BD298" s="1" t="s">
        <v>3233</v>
      </c>
      <c r="BE298" s="1" t="s">
        <v>3234</v>
      </c>
      <c r="BF298" s="2" t="str">
        <f>HYPERLINK("http://dx.doi.org/10.1002/qute.201800074","http://dx.doi.org/10.1002/qute.201800074")</f>
        <v>http://dx.doi.org/10.1002/qute.201800074</v>
      </c>
      <c r="BG298" s="1" t="s">
        <v>74</v>
      </c>
      <c r="BH298" s="1" t="s">
        <v>74</v>
      </c>
      <c r="BI298" s="1" t="s">
        <v>74</v>
      </c>
      <c r="BJ298" s="1" t="s">
        <v>74</v>
      </c>
      <c r="BK298" s="1" t="s">
        <v>74</v>
      </c>
      <c r="BL298" s="1" t="s">
        <v>74</v>
      </c>
      <c r="BM298" s="1" t="s">
        <v>74</v>
      </c>
      <c r="BN298" s="1" t="s">
        <v>74</v>
      </c>
      <c r="BO298" s="1" t="s">
        <v>74</v>
      </c>
      <c r="BP298" s="1" t="s">
        <v>74</v>
      </c>
      <c r="BQ298" s="1" t="s">
        <v>74</v>
      </c>
      <c r="BR298" s="1" t="s">
        <v>74</v>
      </c>
      <c r="BS298" s="1" t="s">
        <v>3235</v>
      </c>
      <c r="BT298" s="1" t="str">
        <f>HYPERLINK("https%3A%2F%2Fwww.webofscience.com%2Fwos%2Fwoscc%2Ffull-record%2FWOS:000548079200002","View Full Record in Web of Science")</f>
        <v>View Full Record in Web of Science</v>
      </c>
    </row>
    <row r="299" ht="12.75" customHeight="1">
      <c r="A299" s="1" t="s">
        <v>72</v>
      </c>
      <c r="B299" s="1" t="s">
        <v>3236</v>
      </c>
      <c r="C299" s="1" t="s">
        <v>74</v>
      </c>
      <c r="D299" s="1" t="s">
        <v>74</v>
      </c>
      <c r="E299" s="1" t="s">
        <v>74</v>
      </c>
      <c r="F299" s="1" t="s">
        <v>3237</v>
      </c>
      <c r="G299" s="1" t="s">
        <v>74</v>
      </c>
      <c r="H299" s="1" t="s">
        <v>74</v>
      </c>
      <c r="I299" s="1" t="s">
        <v>3238</v>
      </c>
      <c r="J299" s="1" t="s">
        <v>911</v>
      </c>
      <c r="K299" s="1" t="s">
        <v>74</v>
      </c>
      <c r="L299" s="1" t="s">
        <v>74</v>
      </c>
      <c r="M299" s="1" t="s">
        <v>74</v>
      </c>
      <c r="N299" s="1" t="s">
        <v>74</v>
      </c>
      <c r="O299" s="1" t="s">
        <v>74</v>
      </c>
      <c r="P299" s="1" t="s">
        <v>74</v>
      </c>
      <c r="Q299" s="1" t="s">
        <v>74</v>
      </c>
      <c r="R299" s="1" t="s">
        <v>74</v>
      </c>
      <c r="S299" s="1" t="s">
        <v>74</v>
      </c>
      <c r="T299" s="1" t="s">
        <v>74</v>
      </c>
      <c r="U299" s="1" t="s">
        <v>74</v>
      </c>
      <c r="V299" s="1" t="s">
        <v>3239</v>
      </c>
      <c r="W299" s="1" t="s">
        <v>74</v>
      </c>
      <c r="X299" s="1" t="s">
        <v>74</v>
      </c>
      <c r="Y299" s="1" t="s">
        <v>74</v>
      </c>
      <c r="Z299" s="1" t="s">
        <v>74</v>
      </c>
      <c r="AA299" s="1" t="s">
        <v>3240</v>
      </c>
      <c r="AB299" s="1" t="s">
        <v>3241</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915</v>
      </c>
      <c r="AP299" s="1" t="s">
        <v>916</v>
      </c>
      <c r="AQ299" s="1" t="s">
        <v>74</v>
      </c>
      <c r="AR299" s="1" t="s">
        <v>74</v>
      </c>
      <c r="AS299" s="1" t="s">
        <v>74</v>
      </c>
      <c r="AT299" s="1" t="s">
        <v>214</v>
      </c>
      <c r="AU299" s="1">
        <v>2019.0</v>
      </c>
      <c r="AV299" s="1">
        <v>192.0</v>
      </c>
      <c r="AW299" s="1" t="s">
        <v>74</v>
      </c>
      <c r="AX299" s="1" t="s">
        <v>74</v>
      </c>
      <c r="AY299" s="1" t="s">
        <v>74</v>
      </c>
      <c r="AZ299" s="1" t="s">
        <v>74</v>
      </c>
      <c r="BA299" s="1" t="s">
        <v>74</v>
      </c>
      <c r="BB299" s="1">
        <v>226.0</v>
      </c>
      <c r="BC299" s="1">
        <v>234.0</v>
      </c>
      <c r="BD299" s="1" t="s">
        <v>74</v>
      </c>
      <c r="BE299" s="1" t="s">
        <v>3242</v>
      </c>
      <c r="BF299" s="2" t="str">
        <f>HYPERLINK("http://dx.doi.org/10.1016/j.biomaterials.2018.11.005","http://dx.doi.org/10.1016/j.biomaterials.2018.11.005")</f>
        <v>http://dx.doi.org/10.1016/j.biomaterials.2018.11.005</v>
      </c>
      <c r="BG299" s="1" t="s">
        <v>74</v>
      </c>
      <c r="BH299" s="1" t="s">
        <v>74</v>
      </c>
      <c r="BI299" s="1" t="s">
        <v>74</v>
      </c>
      <c r="BJ299" s="1" t="s">
        <v>74</v>
      </c>
      <c r="BK299" s="1" t="s">
        <v>74</v>
      </c>
      <c r="BL299" s="1" t="s">
        <v>74</v>
      </c>
      <c r="BM299" s="1" t="s">
        <v>74</v>
      </c>
      <c r="BN299" s="1">
        <v>3.0458358E7</v>
      </c>
      <c r="BO299" s="1" t="s">
        <v>74</v>
      </c>
      <c r="BP299" s="1" t="s">
        <v>74</v>
      </c>
      <c r="BQ299" s="1" t="s">
        <v>74</v>
      </c>
      <c r="BR299" s="1" t="s">
        <v>74</v>
      </c>
      <c r="BS299" s="1" t="s">
        <v>3243</v>
      </c>
      <c r="BT299" s="1" t="str">
        <f>HYPERLINK("https%3A%2F%2Fwww.webofscience.com%2Fwos%2Fwoscc%2Ffull-record%2FWOS:000456902000018","View Full Record in Web of Science")</f>
        <v>View Full Record in Web of Science</v>
      </c>
    </row>
    <row r="300" ht="12.75" customHeight="1">
      <c r="A300" s="1" t="s">
        <v>72</v>
      </c>
      <c r="B300" s="1" t="s">
        <v>3244</v>
      </c>
      <c r="C300" s="1" t="s">
        <v>74</v>
      </c>
      <c r="D300" s="1" t="s">
        <v>74</v>
      </c>
      <c r="E300" s="1" t="s">
        <v>74</v>
      </c>
      <c r="F300" s="1" t="s">
        <v>3245</v>
      </c>
      <c r="G300" s="1" t="s">
        <v>74</v>
      </c>
      <c r="H300" s="1" t="s">
        <v>74</v>
      </c>
      <c r="I300" s="1" t="s">
        <v>3246</v>
      </c>
      <c r="J300" s="1" t="s">
        <v>3247</v>
      </c>
      <c r="K300" s="1" t="s">
        <v>74</v>
      </c>
      <c r="L300" s="1" t="s">
        <v>74</v>
      </c>
      <c r="M300" s="1" t="s">
        <v>74</v>
      </c>
      <c r="N300" s="1" t="s">
        <v>74</v>
      </c>
      <c r="O300" s="1" t="s">
        <v>74</v>
      </c>
      <c r="P300" s="1" t="s">
        <v>74</v>
      </c>
      <c r="Q300" s="1" t="s">
        <v>74</v>
      </c>
      <c r="R300" s="1" t="s">
        <v>74</v>
      </c>
      <c r="S300" s="1" t="s">
        <v>74</v>
      </c>
      <c r="T300" s="1" t="s">
        <v>74</v>
      </c>
      <c r="U300" s="1" t="s">
        <v>74</v>
      </c>
      <c r="V300" s="1" t="s">
        <v>3248</v>
      </c>
      <c r="W300" s="1" t="s">
        <v>74</v>
      </c>
      <c r="X300" s="1" t="s">
        <v>74</v>
      </c>
      <c r="Y300" s="1" t="s">
        <v>74</v>
      </c>
      <c r="Z300" s="1" t="s">
        <v>74</v>
      </c>
      <c r="AA300" s="1" t="s">
        <v>3249</v>
      </c>
      <c r="AB300" s="1" t="s">
        <v>3250</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3251</v>
      </c>
      <c r="AP300" s="1" t="s">
        <v>3252</v>
      </c>
      <c r="AQ300" s="1" t="s">
        <v>74</v>
      </c>
      <c r="AR300" s="1" t="s">
        <v>74</v>
      </c>
      <c r="AS300" s="1" t="s">
        <v>74</v>
      </c>
      <c r="AT300" s="1" t="s">
        <v>74</v>
      </c>
      <c r="AU300" s="1">
        <v>2018.0</v>
      </c>
      <c r="AV300" s="1">
        <v>14.0</v>
      </c>
      <c r="AW300" s="1">
        <v>6.0</v>
      </c>
      <c r="AX300" s="1" t="s">
        <v>74</v>
      </c>
      <c r="AY300" s="1" t="s">
        <v>74</v>
      </c>
      <c r="AZ300" s="1" t="s">
        <v>74</v>
      </c>
      <c r="BA300" s="1" t="s">
        <v>74</v>
      </c>
      <c r="BB300" s="1">
        <v>573.0</v>
      </c>
      <c r="BC300" s="1">
        <v>584.0</v>
      </c>
      <c r="BD300" s="1" t="s">
        <v>74</v>
      </c>
      <c r="BE300" s="1" t="s">
        <v>3253</v>
      </c>
      <c r="BF300" s="2" t="str">
        <f>HYPERLINK("http://dx.doi.org/10.2174/1573406414666180419113437","http://dx.doi.org/10.2174/1573406414666180419113437")</f>
        <v>http://dx.doi.org/10.2174/1573406414666180419113437</v>
      </c>
      <c r="BG300" s="1" t="s">
        <v>74</v>
      </c>
      <c r="BH300" s="1" t="s">
        <v>74</v>
      </c>
      <c r="BI300" s="1" t="s">
        <v>74</v>
      </c>
      <c r="BJ300" s="1" t="s">
        <v>74</v>
      </c>
      <c r="BK300" s="1" t="s">
        <v>74</v>
      </c>
      <c r="BL300" s="1" t="s">
        <v>74</v>
      </c>
      <c r="BM300" s="1" t="s">
        <v>74</v>
      </c>
      <c r="BN300" s="1">
        <v>2.9669503E7</v>
      </c>
      <c r="BO300" s="1" t="s">
        <v>74</v>
      </c>
      <c r="BP300" s="1" t="s">
        <v>74</v>
      </c>
      <c r="BQ300" s="1" t="s">
        <v>74</v>
      </c>
      <c r="BR300" s="1" t="s">
        <v>74</v>
      </c>
      <c r="BS300" s="1" t="s">
        <v>3254</v>
      </c>
      <c r="BT300" s="1" t="str">
        <f>HYPERLINK("https%3A%2F%2Fwww.webofscience.com%2Fwos%2Fwoscc%2Ffull-record%2FWOS:000438407800004","View Full Record in Web of Science")</f>
        <v>View Full Record in Web of Science</v>
      </c>
    </row>
    <row r="301" ht="12.75" customHeight="1">
      <c r="A301" s="1" t="s">
        <v>72</v>
      </c>
      <c r="B301" s="1" t="s">
        <v>3255</v>
      </c>
      <c r="C301" s="1" t="s">
        <v>74</v>
      </c>
      <c r="D301" s="1" t="s">
        <v>74</v>
      </c>
      <c r="E301" s="1" t="s">
        <v>74</v>
      </c>
      <c r="F301" s="1" t="s">
        <v>3256</v>
      </c>
      <c r="G301" s="1" t="s">
        <v>74</v>
      </c>
      <c r="H301" s="1" t="s">
        <v>74</v>
      </c>
      <c r="I301" s="1" t="s">
        <v>3257</v>
      </c>
      <c r="J301" s="1" t="s">
        <v>3258</v>
      </c>
      <c r="K301" s="1" t="s">
        <v>74</v>
      </c>
      <c r="L301" s="1" t="s">
        <v>74</v>
      </c>
      <c r="M301" s="1" t="s">
        <v>74</v>
      </c>
      <c r="N301" s="1" t="s">
        <v>74</v>
      </c>
      <c r="O301" s="1" t="s">
        <v>74</v>
      </c>
      <c r="P301" s="1" t="s">
        <v>74</v>
      </c>
      <c r="Q301" s="1" t="s">
        <v>74</v>
      </c>
      <c r="R301" s="1" t="s">
        <v>74</v>
      </c>
      <c r="S301" s="1" t="s">
        <v>74</v>
      </c>
      <c r="T301" s="1" t="s">
        <v>74</v>
      </c>
      <c r="U301" s="1" t="s">
        <v>74</v>
      </c>
      <c r="V301" s="1" t="s">
        <v>3259</v>
      </c>
      <c r="W301" s="1" t="s">
        <v>74</v>
      </c>
      <c r="X301" s="1" t="s">
        <v>74</v>
      </c>
      <c r="Y301" s="1" t="s">
        <v>74</v>
      </c>
      <c r="Z301" s="1" t="s">
        <v>74</v>
      </c>
      <c r="AA301" s="1" t="s">
        <v>3260</v>
      </c>
      <c r="AB301" s="1" t="s">
        <v>3261</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3262</v>
      </c>
      <c r="AP301" s="1" t="s">
        <v>3263</v>
      </c>
      <c r="AQ301" s="1" t="s">
        <v>74</v>
      </c>
      <c r="AR301" s="1" t="s">
        <v>74</v>
      </c>
      <c r="AS301" s="1" t="s">
        <v>74</v>
      </c>
      <c r="AT301" s="1" t="s">
        <v>3264</v>
      </c>
      <c r="AU301" s="1">
        <v>2015.0</v>
      </c>
      <c r="AV301" s="1">
        <v>54.0</v>
      </c>
      <c r="AW301" s="1">
        <v>32.0</v>
      </c>
      <c r="AX301" s="1" t="s">
        <v>74</v>
      </c>
      <c r="AY301" s="1" t="s">
        <v>74</v>
      </c>
      <c r="AZ301" s="1" t="s">
        <v>74</v>
      </c>
      <c r="BA301" s="1" t="s">
        <v>74</v>
      </c>
      <c r="BB301" s="1">
        <v>9409.0</v>
      </c>
      <c r="BC301" s="1">
        <v>9414.0</v>
      </c>
      <c r="BD301" s="1" t="s">
        <v>74</v>
      </c>
      <c r="BE301" s="1" t="s">
        <v>3265</v>
      </c>
      <c r="BF301" s="2" t="str">
        <f>HYPERLINK("http://dx.doi.org/10.1364/AO.54.009409","http://dx.doi.org/10.1364/AO.54.009409")</f>
        <v>http://dx.doi.org/10.1364/AO.54.009409</v>
      </c>
      <c r="BG301" s="1" t="s">
        <v>74</v>
      </c>
      <c r="BH301" s="1" t="s">
        <v>74</v>
      </c>
      <c r="BI301" s="1" t="s">
        <v>74</v>
      </c>
      <c r="BJ301" s="1" t="s">
        <v>74</v>
      </c>
      <c r="BK301" s="1" t="s">
        <v>74</v>
      </c>
      <c r="BL301" s="1" t="s">
        <v>74</v>
      </c>
      <c r="BM301" s="1" t="s">
        <v>74</v>
      </c>
      <c r="BN301" s="1">
        <v>2.6560765E7</v>
      </c>
      <c r="BO301" s="1" t="s">
        <v>74</v>
      </c>
      <c r="BP301" s="1" t="s">
        <v>74</v>
      </c>
      <c r="BQ301" s="1" t="s">
        <v>74</v>
      </c>
      <c r="BR301" s="1" t="s">
        <v>74</v>
      </c>
      <c r="BS301" s="1" t="s">
        <v>3266</v>
      </c>
      <c r="BT301" s="1" t="str">
        <f>HYPERLINK("https%3A%2F%2Fwww.webofscience.com%2Fwos%2Fwoscc%2Ffull-record%2FWOS:000364456300006","View Full Record in Web of Science")</f>
        <v>View Full Record in Web of Science</v>
      </c>
    </row>
    <row r="302" ht="12.75" customHeight="1">
      <c r="A302" s="1" t="s">
        <v>72</v>
      </c>
      <c r="B302" s="1" t="s">
        <v>3267</v>
      </c>
      <c r="C302" s="1" t="s">
        <v>74</v>
      </c>
      <c r="D302" s="1" t="s">
        <v>74</v>
      </c>
      <c r="E302" s="1" t="s">
        <v>74</v>
      </c>
      <c r="F302" s="1" t="s">
        <v>3268</v>
      </c>
      <c r="G302" s="1" t="s">
        <v>74</v>
      </c>
      <c r="H302" s="1" t="s">
        <v>74</v>
      </c>
      <c r="I302" s="1" t="s">
        <v>3269</v>
      </c>
      <c r="J302" s="1" t="s">
        <v>1226</v>
      </c>
      <c r="K302" s="1" t="s">
        <v>74</v>
      </c>
      <c r="L302" s="1" t="s">
        <v>74</v>
      </c>
      <c r="M302" s="1" t="s">
        <v>74</v>
      </c>
      <c r="N302" s="1" t="s">
        <v>74</v>
      </c>
      <c r="O302" s="1" t="s">
        <v>74</v>
      </c>
      <c r="P302" s="1" t="s">
        <v>74</v>
      </c>
      <c r="Q302" s="1" t="s">
        <v>74</v>
      </c>
      <c r="R302" s="1" t="s">
        <v>74</v>
      </c>
      <c r="S302" s="1" t="s">
        <v>74</v>
      </c>
      <c r="T302" s="1" t="s">
        <v>74</v>
      </c>
      <c r="U302" s="1" t="s">
        <v>74</v>
      </c>
      <c r="V302" s="1" t="s">
        <v>3270</v>
      </c>
      <c r="W302" s="1" t="s">
        <v>74</v>
      </c>
      <c r="X302" s="1" t="s">
        <v>74</v>
      </c>
      <c r="Y302" s="1" t="s">
        <v>74</v>
      </c>
      <c r="Z302" s="1" t="s">
        <v>74</v>
      </c>
      <c r="AA302" s="1" t="s">
        <v>3271</v>
      </c>
      <c r="AB302" s="1" t="s">
        <v>3272</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1228</v>
      </c>
      <c r="AP302" s="1" t="s">
        <v>1229</v>
      </c>
      <c r="AQ302" s="1" t="s">
        <v>74</v>
      </c>
      <c r="AR302" s="1" t="s">
        <v>74</v>
      </c>
      <c r="AS302" s="1" t="s">
        <v>74</v>
      </c>
      <c r="AT302" s="1" t="s">
        <v>3273</v>
      </c>
      <c r="AU302" s="1">
        <v>2024.0</v>
      </c>
      <c r="AV302" s="1">
        <v>689.0</v>
      </c>
      <c r="AW302" s="1" t="s">
        <v>74</v>
      </c>
      <c r="AX302" s="1" t="s">
        <v>74</v>
      </c>
      <c r="AY302" s="1" t="s">
        <v>74</v>
      </c>
      <c r="AZ302" s="1" t="s">
        <v>74</v>
      </c>
      <c r="BA302" s="1" t="s">
        <v>74</v>
      </c>
      <c r="BB302" s="1" t="s">
        <v>74</v>
      </c>
      <c r="BC302" s="1" t="s">
        <v>74</v>
      </c>
      <c r="BD302" s="1" t="s">
        <v>3274</v>
      </c>
      <c r="BE302" s="1" t="s">
        <v>3275</v>
      </c>
      <c r="BF302" s="2" t="str">
        <f>HYPERLINK("http://dx.doi.org/10.1051/0004-6361/202450126","http://dx.doi.org/10.1051/0004-6361/202450126")</f>
        <v>http://dx.doi.org/10.1051/0004-6361/202450126</v>
      </c>
      <c r="BG302" s="1" t="s">
        <v>74</v>
      </c>
      <c r="BH302" s="1" t="s">
        <v>74</v>
      </c>
      <c r="BI302" s="1" t="s">
        <v>74</v>
      </c>
      <c r="BJ302" s="1" t="s">
        <v>74</v>
      </c>
      <c r="BK302" s="1" t="s">
        <v>74</v>
      </c>
      <c r="BL302" s="1" t="s">
        <v>74</v>
      </c>
      <c r="BM302" s="1" t="s">
        <v>74</v>
      </c>
      <c r="BN302" s="1" t="s">
        <v>74</v>
      </c>
      <c r="BO302" s="1" t="s">
        <v>74</v>
      </c>
      <c r="BP302" s="1" t="s">
        <v>74</v>
      </c>
      <c r="BQ302" s="1" t="s">
        <v>74</v>
      </c>
      <c r="BR302" s="1" t="s">
        <v>74</v>
      </c>
      <c r="BS302" s="1" t="s">
        <v>3276</v>
      </c>
      <c r="BT302" s="1" t="str">
        <f>HYPERLINK("https%3A%2F%2Fwww.webofscience.com%2Fwos%2Fwoscc%2Ffull-record%2FWOS:001366206400010","View Full Record in Web of Science")</f>
        <v>View Full Record in Web of Science</v>
      </c>
    </row>
    <row r="303" ht="12.75" customHeight="1">
      <c r="A303" s="1" t="s">
        <v>72</v>
      </c>
      <c r="B303" s="1" t="s">
        <v>3277</v>
      </c>
      <c r="C303" s="1" t="s">
        <v>74</v>
      </c>
      <c r="D303" s="1" t="s">
        <v>74</v>
      </c>
      <c r="E303" s="1" t="s">
        <v>74</v>
      </c>
      <c r="F303" s="1" t="s">
        <v>3278</v>
      </c>
      <c r="G303" s="1" t="s">
        <v>74</v>
      </c>
      <c r="H303" s="1" t="s">
        <v>74</v>
      </c>
      <c r="I303" s="1" t="s">
        <v>3279</v>
      </c>
      <c r="J303" s="1" t="s">
        <v>1057</v>
      </c>
      <c r="K303" s="1" t="s">
        <v>74</v>
      </c>
      <c r="L303" s="1" t="s">
        <v>74</v>
      </c>
      <c r="M303" s="1" t="s">
        <v>74</v>
      </c>
      <c r="N303" s="1" t="s">
        <v>74</v>
      </c>
      <c r="O303" s="1" t="s">
        <v>74</v>
      </c>
      <c r="P303" s="1" t="s">
        <v>74</v>
      </c>
      <c r="Q303" s="1" t="s">
        <v>74</v>
      </c>
      <c r="R303" s="1" t="s">
        <v>74</v>
      </c>
      <c r="S303" s="1" t="s">
        <v>74</v>
      </c>
      <c r="T303" s="1" t="s">
        <v>74</v>
      </c>
      <c r="U303" s="1" t="s">
        <v>74</v>
      </c>
      <c r="V303" s="1" t="s">
        <v>3280</v>
      </c>
      <c r="W303" s="1" t="s">
        <v>74</v>
      </c>
      <c r="X303" s="1" t="s">
        <v>74</v>
      </c>
      <c r="Y303" s="1" t="s">
        <v>74</v>
      </c>
      <c r="Z303" s="1" t="s">
        <v>74</v>
      </c>
      <c r="AA303" s="1" t="s">
        <v>3281</v>
      </c>
      <c r="AB303" s="1" t="s">
        <v>3282</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74</v>
      </c>
      <c r="AP303" s="1" t="s">
        <v>1061</v>
      </c>
      <c r="AQ303" s="1" t="s">
        <v>74</v>
      </c>
      <c r="AR303" s="1" t="s">
        <v>74</v>
      </c>
      <c r="AS303" s="1" t="s">
        <v>74</v>
      </c>
      <c r="AT303" s="1" t="s">
        <v>447</v>
      </c>
      <c r="AU303" s="1">
        <v>2022.0</v>
      </c>
      <c r="AV303" s="1">
        <v>19.0</v>
      </c>
      <c r="AW303" s="1">
        <v>15.0</v>
      </c>
      <c r="AX303" s="1" t="s">
        <v>74</v>
      </c>
      <c r="AY303" s="1" t="s">
        <v>74</v>
      </c>
      <c r="AZ303" s="1" t="s">
        <v>74</v>
      </c>
      <c r="BA303" s="1" t="s">
        <v>74</v>
      </c>
      <c r="BB303" s="1" t="s">
        <v>74</v>
      </c>
      <c r="BC303" s="1" t="s">
        <v>74</v>
      </c>
      <c r="BD303" s="1">
        <v>9325.0</v>
      </c>
      <c r="BE303" s="1" t="s">
        <v>3283</v>
      </c>
      <c r="BF303" s="2" t="str">
        <f>HYPERLINK("http://dx.doi.org/10.3390/ijerph19159325","http://dx.doi.org/10.3390/ijerph19159325")</f>
        <v>http://dx.doi.org/10.3390/ijerph19159325</v>
      </c>
      <c r="BG303" s="1" t="s">
        <v>74</v>
      </c>
      <c r="BH303" s="1" t="s">
        <v>74</v>
      </c>
      <c r="BI303" s="1" t="s">
        <v>74</v>
      </c>
      <c r="BJ303" s="1" t="s">
        <v>74</v>
      </c>
      <c r="BK303" s="1" t="s">
        <v>74</v>
      </c>
      <c r="BL303" s="1" t="s">
        <v>74</v>
      </c>
      <c r="BM303" s="1" t="s">
        <v>74</v>
      </c>
      <c r="BN303" s="1">
        <v>3.5954682E7</v>
      </c>
      <c r="BO303" s="1" t="s">
        <v>74</v>
      </c>
      <c r="BP303" s="1" t="s">
        <v>74</v>
      </c>
      <c r="BQ303" s="1" t="s">
        <v>74</v>
      </c>
      <c r="BR303" s="1" t="s">
        <v>74</v>
      </c>
      <c r="BS303" s="1" t="s">
        <v>3284</v>
      </c>
      <c r="BT303" s="1" t="str">
        <f>HYPERLINK("https%3A%2F%2Fwww.webofscience.com%2Fwos%2Fwoscc%2Ffull-record%2FWOS:000839071500001","View Full Record in Web of Science")</f>
        <v>View Full Record in Web of Science</v>
      </c>
    </row>
    <row r="304" ht="12.75" customHeight="1">
      <c r="A304" s="1" t="s">
        <v>72</v>
      </c>
      <c r="B304" s="1" t="s">
        <v>3285</v>
      </c>
      <c r="C304" s="1" t="s">
        <v>74</v>
      </c>
      <c r="D304" s="1" t="s">
        <v>74</v>
      </c>
      <c r="E304" s="1" t="s">
        <v>74</v>
      </c>
      <c r="F304" s="1" t="s">
        <v>3286</v>
      </c>
      <c r="G304" s="1" t="s">
        <v>74</v>
      </c>
      <c r="H304" s="1" t="s">
        <v>74</v>
      </c>
      <c r="I304" s="1" t="s">
        <v>3287</v>
      </c>
      <c r="J304" s="1" t="s">
        <v>3288</v>
      </c>
      <c r="K304" s="1" t="s">
        <v>74</v>
      </c>
      <c r="L304" s="1" t="s">
        <v>74</v>
      </c>
      <c r="M304" s="1" t="s">
        <v>74</v>
      </c>
      <c r="N304" s="1" t="s">
        <v>74</v>
      </c>
      <c r="O304" s="1" t="s">
        <v>74</v>
      </c>
      <c r="P304" s="1" t="s">
        <v>74</v>
      </c>
      <c r="Q304" s="1" t="s">
        <v>74</v>
      </c>
      <c r="R304" s="1" t="s">
        <v>74</v>
      </c>
      <c r="S304" s="1" t="s">
        <v>74</v>
      </c>
      <c r="T304" s="1" t="s">
        <v>74</v>
      </c>
      <c r="U304" s="1" t="s">
        <v>74</v>
      </c>
      <c r="V304" s="1" t="s">
        <v>3289</v>
      </c>
      <c r="W304" s="1" t="s">
        <v>74</v>
      </c>
      <c r="X304" s="1" t="s">
        <v>74</v>
      </c>
      <c r="Y304" s="1" t="s">
        <v>74</v>
      </c>
      <c r="Z304" s="1" t="s">
        <v>74</v>
      </c>
      <c r="AA304" s="1" t="s">
        <v>3290</v>
      </c>
      <c r="AB304" s="1" t="s">
        <v>3291</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74</v>
      </c>
      <c r="AP304" s="1" t="s">
        <v>3292</v>
      </c>
      <c r="AQ304" s="1" t="s">
        <v>74</v>
      </c>
      <c r="AR304" s="1" t="s">
        <v>74</v>
      </c>
      <c r="AS304" s="1" t="s">
        <v>74</v>
      </c>
      <c r="AT304" s="1" t="s">
        <v>94</v>
      </c>
      <c r="AU304" s="1">
        <v>2021.0</v>
      </c>
      <c r="AV304" s="1">
        <v>10.0</v>
      </c>
      <c r="AW304" s="1">
        <v>12.0</v>
      </c>
      <c r="AX304" s="1" t="s">
        <v>74</v>
      </c>
      <c r="AY304" s="1" t="s">
        <v>74</v>
      </c>
      <c r="AZ304" s="1" t="s">
        <v>74</v>
      </c>
      <c r="BA304" s="1" t="s">
        <v>74</v>
      </c>
      <c r="BB304" s="1" t="s">
        <v>74</v>
      </c>
      <c r="BC304" s="1" t="s">
        <v>74</v>
      </c>
      <c r="BD304" s="1">
        <v>1331.0</v>
      </c>
      <c r="BE304" s="1" t="s">
        <v>3293</v>
      </c>
      <c r="BF304" s="2" t="str">
        <f>HYPERLINK("http://dx.doi.org/10.3390/biology10121331","http://dx.doi.org/10.3390/biology10121331")</f>
        <v>http://dx.doi.org/10.3390/biology10121331</v>
      </c>
      <c r="BG304" s="1" t="s">
        <v>74</v>
      </c>
      <c r="BH304" s="1" t="s">
        <v>74</v>
      </c>
      <c r="BI304" s="1" t="s">
        <v>74</v>
      </c>
      <c r="BJ304" s="1" t="s">
        <v>74</v>
      </c>
      <c r="BK304" s="1" t="s">
        <v>74</v>
      </c>
      <c r="BL304" s="1" t="s">
        <v>74</v>
      </c>
      <c r="BM304" s="1" t="s">
        <v>74</v>
      </c>
      <c r="BN304" s="1">
        <v>3.4943246E7</v>
      </c>
      <c r="BO304" s="1" t="s">
        <v>74</v>
      </c>
      <c r="BP304" s="1" t="s">
        <v>74</v>
      </c>
      <c r="BQ304" s="1" t="s">
        <v>74</v>
      </c>
      <c r="BR304" s="1" t="s">
        <v>74</v>
      </c>
      <c r="BS304" s="1" t="s">
        <v>3294</v>
      </c>
      <c r="BT304" s="1" t="str">
        <f>HYPERLINK("https%3A%2F%2Fwww.webofscience.com%2Fwos%2Fwoscc%2Ffull-record%2FWOS:000736251400001","View Full Record in Web of Science")</f>
        <v>View Full Record in Web of Science</v>
      </c>
    </row>
    <row r="305" ht="12.75" customHeight="1">
      <c r="A305" s="1" t="s">
        <v>72</v>
      </c>
      <c r="B305" s="1" t="s">
        <v>3295</v>
      </c>
      <c r="C305" s="1" t="s">
        <v>74</v>
      </c>
      <c r="D305" s="1" t="s">
        <v>74</v>
      </c>
      <c r="E305" s="1" t="s">
        <v>74</v>
      </c>
      <c r="F305" s="1" t="s">
        <v>3296</v>
      </c>
      <c r="G305" s="1" t="s">
        <v>74</v>
      </c>
      <c r="H305" s="1" t="s">
        <v>74</v>
      </c>
      <c r="I305" s="1" t="s">
        <v>3297</v>
      </c>
      <c r="J305" s="1" t="s">
        <v>1561</v>
      </c>
      <c r="K305" s="1" t="s">
        <v>74</v>
      </c>
      <c r="L305" s="1" t="s">
        <v>74</v>
      </c>
      <c r="M305" s="1" t="s">
        <v>74</v>
      </c>
      <c r="N305" s="1" t="s">
        <v>74</v>
      </c>
      <c r="O305" s="1" t="s">
        <v>74</v>
      </c>
      <c r="P305" s="1" t="s">
        <v>74</v>
      </c>
      <c r="Q305" s="1" t="s">
        <v>74</v>
      </c>
      <c r="R305" s="1" t="s">
        <v>74</v>
      </c>
      <c r="S305" s="1" t="s">
        <v>74</v>
      </c>
      <c r="T305" s="1" t="s">
        <v>74</v>
      </c>
      <c r="U305" s="1" t="s">
        <v>74</v>
      </c>
      <c r="V305" s="1" t="s">
        <v>3298</v>
      </c>
      <c r="W305" s="1" t="s">
        <v>74</v>
      </c>
      <c r="X305" s="1" t="s">
        <v>74</v>
      </c>
      <c r="Y305" s="1" t="s">
        <v>74</v>
      </c>
      <c r="Z305" s="1" t="s">
        <v>74</v>
      </c>
      <c r="AA305" s="1" t="s">
        <v>3299</v>
      </c>
      <c r="AB305" s="1" t="s">
        <v>3300</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1565</v>
      </c>
      <c r="AP305" s="1" t="s">
        <v>74</v>
      </c>
      <c r="AQ305" s="1" t="s">
        <v>74</v>
      </c>
      <c r="AR305" s="1" t="s">
        <v>74</v>
      </c>
      <c r="AS305" s="1" t="s">
        <v>74</v>
      </c>
      <c r="AT305" s="1" t="s">
        <v>3301</v>
      </c>
      <c r="AU305" s="1">
        <v>2021.0</v>
      </c>
      <c r="AV305" s="1">
        <v>12.0</v>
      </c>
      <c r="AW305" s="1" t="s">
        <v>74</v>
      </c>
      <c r="AX305" s="1" t="s">
        <v>74</v>
      </c>
      <c r="AY305" s="1" t="s">
        <v>74</v>
      </c>
      <c r="AZ305" s="1" t="s">
        <v>74</v>
      </c>
      <c r="BA305" s="1" t="s">
        <v>74</v>
      </c>
      <c r="BB305" s="1" t="s">
        <v>74</v>
      </c>
      <c r="BC305" s="1" t="s">
        <v>74</v>
      </c>
      <c r="BD305" s="1">
        <v>670279.0</v>
      </c>
      <c r="BE305" s="1" t="s">
        <v>3302</v>
      </c>
      <c r="BF305" s="2" t="str">
        <f>HYPERLINK("http://dx.doi.org/10.3389/fimmu.2021.670279","http://dx.doi.org/10.3389/fimmu.2021.670279")</f>
        <v>http://dx.doi.org/10.3389/fimmu.2021.670279</v>
      </c>
      <c r="BG305" s="1" t="s">
        <v>74</v>
      </c>
      <c r="BH305" s="1" t="s">
        <v>74</v>
      </c>
      <c r="BI305" s="1" t="s">
        <v>74</v>
      </c>
      <c r="BJ305" s="1" t="s">
        <v>74</v>
      </c>
      <c r="BK305" s="1" t="s">
        <v>74</v>
      </c>
      <c r="BL305" s="1" t="s">
        <v>74</v>
      </c>
      <c r="BM305" s="1" t="s">
        <v>74</v>
      </c>
      <c r="BN305" s="1">
        <v>3.4054843E7</v>
      </c>
      <c r="BO305" s="1" t="s">
        <v>74</v>
      </c>
      <c r="BP305" s="1" t="s">
        <v>74</v>
      </c>
      <c r="BQ305" s="1" t="s">
        <v>74</v>
      </c>
      <c r="BR305" s="1" t="s">
        <v>74</v>
      </c>
      <c r="BS305" s="1" t="s">
        <v>3303</v>
      </c>
      <c r="BT305" s="1" t="str">
        <f>HYPERLINK("https%3A%2F%2Fwww.webofscience.com%2Fwos%2Fwoscc%2Ffull-record%2FWOS:000655501200001","View Full Record in Web of Science")</f>
        <v>View Full Record in Web of Science</v>
      </c>
    </row>
    <row r="306" ht="12.75" customHeight="1">
      <c r="A306" s="1" t="s">
        <v>72</v>
      </c>
      <c r="B306" s="1" t="s">
        <v>3304</v>
      </c>
      <c r="C306" s="1" t="s">
        <v>74</v>
      </c>
      <c r="D306" s="1" t="s">
        <v>74</v>
      </c>
      <c r="E306" s="1" t="s">
        <v>74</v>
      </c>
      <c r="F306" s="1" t="s">
        <v>3305</v>
      </c>
      <c r="G306" s="1" t="s">
        <v>74</v>
      </c>
      <c r="H306" s="1" t="s">
        <v>74</v>
      </c>
      <c r="I306" s="1" t="s">
        <v>3306</v>
      </c>
      <c r="J306" s="1" t="s">
        <v>3307</v>
      </c>
      <c r="K306" s="1" t="s">
        <v>74</v>
      </c>
      <c r="L306" s="1" t="s">
        <v>74</v>
      </c>
      <c r="M306" s="1" t="s">
        <v>74</v>
      </c>
      <c r="N306" s="1" t="s">
        <v>74</v>
      </c>
      <c r="O306" s="1" t="s">
        <v>74</v>
      </c>
      <c r="P306" s="1" t="s">
        <v>74</v>
      </c>
      <c r="Q306" s="1" t="s">
        <v>74</v>
      </c>
      <c r="R306" s="1" t="s">
        <v>74</v>
      </c>
      <c r="S306" s="1" t="s">
        <v>74</v>
      </c>
      <c r="T306" s="1" t="s">
        <v>74</v>
      </c>
      <c r="U306" s="1" t="s">
        <v>74</v>
      </c>
      <c r="V306" s="1" t="s">
        <v>3308</v>
      </c>
      <c r="W306" s="1" t="s">
        <v>74</v>
      </c>
      <c r="X306" s="1" t="s">
        <v>74</v>
      </c>
      <c r="Y306" s="1" t="s">
        <v>74</v>
      </c>
      <c r="Z306" s="1" t="s">
        <v>74</v>
      </c>
      <c r="AA306" s="1" t="s">
        <v>3309</v>
      </c>
      <c r="AB306" s="1" t="s">
        <v>3310</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3311</v>
      </c>
      <c r="AP306" s="1" t="s">
        <v>3312</v>
      </c>
      <c r="AQ306" s="1" t="s">
        <v>74</v>
      </c>
      <c r="AR306" s="1" t="s">
        <v>74</v>
      </c>
      <c r="AS306" s="1" t="s">
        <v>74</v>
      </c>
      <c r="AT306" s="1" t="s">
        <v>202</v>
      </c>
      <c r="AU306" s="1">
        <v>2020.0</v>
      </c>
      <c r="AV306" s="1">
        <v>37.0</v>
      </c>
      <c r="AW306" s="1">
        <v>2.0</v>
      </c>
      <c r="AX306" s="1" t="s">
        <v>74</v>
      </c>
      <c r="AY306" s="1" t="s">
        <v>74</v>
      </c>
      <c r="AZ306" s="1" t="s">
        <v>74</v>
      </c>
      <c r="BA306" s="1" t="s">
        <v>74</v>
      </c>
      <c r="BB306" s="1">
        <v>433.0</v>
      </c>
      <c r="BC306" s="1">
        <v>447.0</v>
      </c>
      <c r="BD306" s="1" t="s">
        <v>74</v>
      </c>
      <c r="BE306" s="1" t="s">
        <v>3313</v>
      </c>
      <c r="BF306" s="2" t="str">
        <f>HYPERLINK("http://dx.doi.org/10.1007/s10460-019-09996-1","http://dx.doi.org/10.1007/s10460-019-09996-1")</f>
        <v>http://dx.doi.org/10.1007/s10460-019-09996-1</v>
      </c>
      <c r="BG306" s="1" t="s">
        <v>74</v>
      </c>
      <c r="BH306" s="1" t="s">
        <v>3314</v>
      </c>
      <c r="BI306" s="1" t="s">
        <v>74</v>
      </c>
      <c r="BJ306" s="1" t="s">
        <v>74</v>
      </c>
      <c r="BK306" s="1" t="s">
        <v>74</v>
      </c>
      <c r="BL306" s="1" t="s">
        <v>74</v>
      </c>
      <c r="BM306" s="1" t="s">
        <v>74</v>
      </c>
      <c r="BN306" s="1" t="s">
        <v>74</v>
      </c>
      <c r="BO306" s="1" t="s">
        <v>74</v>
      </c>
      <c r="BP306" s="1" t="s">
        <v>74</v>
      </c>
      <c r="BQ306" s="1" t="s">
        <v>74</v>
      </c>
      <c r="BR306" s="1" t="s">
        <v>74</v>
      </c>
      <c r="BS306" s="1" t="s">
        <v>3315</v>
      </c>
      <c r="BT306" s="1" t="str">
        <f>HYPERLINK("https%3A%2F%2Fwww.webofscience.com%2Fwos%2Fwoscc%2Ffull-record%2FWOS:000493266500001","View Full Record in Web of Science")</f>
        <v>View Full Record in Web of Science</v>
      </c>
    </row>
    <row r="307" ht="12.75" customHeight="1">
      <c r="A307" s="1" t="s">
        <v>72</v>
      </c>
      <c r="B307" s="1" t="s">
        <v>3316</v>
      </c>
      <c r="C307" s="1" t="s">
        <v>74</v>
      </c>
      <c r="D307" s="1" t="s">
        <v>74</v>
      </c>
      <c r="E307" s="1" t="s">
        <v>74</v>
      </c>
      <c r="F307" s="1" t="s">
        <v>3317</v>
      </c>
      <c r="G307" s="1" t="s">
        <v>74</v>
      </c>
      <c r="H307" s="1" t="s">
        <v>74</v>
      </c>
      <c r="I307" s="1" t="s">
        <v>3318</v>
      </c>
      <c r="J307" s="1" t="s">
        <v>1121</v>
      </c>
      <c r="K307" s="1" t="s">
        <v>74</v>
      </c>
      <c r="L307" s="1" t="s">
        <v>74</v>
      </c>
      <c r="M307" s="1" t="s">
        <v>74</v>
      </c>
      <c r="N307" s="1" t="s">
        <v>74</v>
      </c>
      <c r="O307" s="1" t="s">
        <v>74</v>
      </c>
      <c r="P307" s="1" t="s">
        <v>74</v>
      </c>
      <c r="Q307" s="1" t="s">
        <v>74</v>
      </c>
      <c r="R307" s="1" t="s">
        <v>74</v>
      </c>
      <c r="S307" s="1" t="s">
        <v>74</v>
      </c>
      <c r="T307" s="1" t="s">
        <v>74</v>
      </c>
      <c r="U307" s="1" t="s">
        <v>74</v>
      </c>
      <c r="V307" s="1" t="s">
        <v>3319</v>
      </c>
      <c r="W307" s="1" t="s">
        <v>74</v>
      </c>
      <c r="X307" s="1" t="s">
        <v>74</v>
      </c>
      <c r="Y307" s="1" t="s">
        <v>74</v>
      </c>
      <c r="Z307" s="1" t="s">
        <v>74</v>
      </c>
      <c r="AA307" s="1" t="s">
        <v>3320</v>
      </c>
      <c r="AB307" s="1" t="s">
        <v>3321</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74</v>
      </c>
      <c r="AP307" s="1" t="s">
        <v>1125</v>
      </c>
      <c r="AQ307" s="1" t="s">
        <v>74</v>
      </c>
      <c r="AR307" s="1" t="s">
        <v>74</v>
      </c>
      <c r="AS307" s="1" t="s">
        <v>74</v>
      </c>
      <c r="AT307" s="1" t="s">
        <v>3322</v>
      </c>
      <c r="AU307" s="1">
        <v>2023.0</v>
      </c>
      <c r="AV307" s="1">
        <v>14.0</v>
      </c>
      <c r="AW307" s="1" t="s">
        <v>74</v>
      </c>
      <c r="AX307" s="1" t="s">
        <v>74</v>
      </c>
      <c r="AY307" s="1" t="s">
        <v>74</v>
      </c>
      <c r="AZ307" s="1" t="s">
        <v>74</v>
      </c>
      <c r="BA307" s="1" t="s">
        <v>74</v>
      </c>
      <c r="BB307" s="1" t="s">
        <v>74</v>
      </c>
      <c r="BC307" s="1" t="s">
        <v>74</v>
      </c>
      <c r="BD307" s="1">
        <v>1270512.0</v>
      </c>
      <c r="BE307" s="1" t="s">
        <v>3323</v>
      </c>
      <c r="BF307" s="2" t="str">
        <f>HYPERLINK("http://dx.doi.org/10.3389/fphys.2023.1270512","http://dx.doi.org/10.3389/fphys.2023.1270512")</f>
        <v>http://dx.doi.org/10.3389/fphys.2023.1270512</v>
      </c>
      <c r="BG307" s="1" t="s">
        <v>74</v>
      </c>
      <c r="BH307" s="1" t="s">
        <v>74</v>
      </c>
      <c r="BI307" s="1" t="s">
        <v>74</v>
      </c>
      <c r="BJ307" s="1" t="s">
        <v>74</v>
      </c>
      <c r="BK307" s="1" t="s">
        <v>74</v>
      </c>
      <c r="BL307" s="1" t="s">
        <v>74</v>
      </c>
      <c r="BM307" s="1" t="s">
        <v>74</v>
      </c>
      <c r="BN307" s="1">
        <v>3.8074324E7</v>
      </c>
      <c r="BO307" s="1" t="s">
        <v>74</v>
      </c>
      <c r="BP307" s="1" t="s">
        <v>74</v>
      </c>
      <c r="BQ307" s="1" t="s">
        <v>74</v>
      </c>
      <c r="BR307" s="1" t="s">
        <v>74</v>
      </c>
      <c r="BS307" s="1" t="s">
        <v>3324</v>
      </c>
      <c r="BT307" s="1" t="str">
        <f>HYPERLINK("https%3A%2F%2Fwww.webofscience.com%2Fwos%2Fwoscc%2Ffull-record%2FWOS:001118943200001","View Full Record in Web of Science")</f>
        <v>View Full Record in Web of Science</v>
      </c>
    </row>
    <row r="308" ht="12.75" customHeight="1">
      <c r="A308" s="1" t="s">
        <v>72</v>
      </c>
      <c r="B308" s="1" t="s">
        <v>3325</v>
      </c>
      <c r="C308" s="1" t="s">
        <v>74</v>
      </c>
      <c r="D308" s="1" t="s">
        <v>74</v>
      </c>
      <c r="E308" s="1" t="s">
        <v>74</v>
      </c>
      <c r="F308" s="1" t="s">
        <v>3326</v>
      </c>
      <c r="G308" s="1" t="s">
        <v>74</v>
      </c>
      <c r="H308" s="1" t="s">
        <v>74</v>
      </c>
      <c r="I308" s="1" t="s">
        <v>3327</v>
      </c>
      <c r="J308" s="1" t="s">
        <v>3328</v>
      </c>
      <c r="K308" s="1" t="s">
        <v>74</v>
      </c>
      <c r="L308" s="1" t="s">
        <v>74</v>
      </c>
      <c r="M308" s="1" t="s">
        <v>74</v>
      </c>
      <c r="N308" s="1" t="s">
        <v>74</v>
      </c>
      <c r="O308" s="1" t="s">
        <v>74</v>
      </c>
      <c r="P308" s="1" t="s">
        <v>74</v>
      </c>
      <c r="Q308" s="1" t="s">
        <v>74</v>
      </c>
      <c r="R308" s="1" t="s">
        <v>74</v>
      </c>
      <c r="S308" s="1" t="s">
        <v>74</v>
      </c>
      <c r="T308" s="1" t="s">
        <v>74</v>
      </c>
      <c r="U308" s="1" t="s">
        <v>74</v>
      </c>
      <c r="V308" s="1" t="s">
        <v>3329</v>
      </c>
      <c r="W308" s="1" t="s">
        <v>74</v>
      </c>
      <c r="X308" s="1" t="s">
        <v>74</v>
      </c>
      <c r="Y308" s="1" t="s">
        <v>74</v>
      </c>
      <c r="Z308" s="1" t="s">
        <v>74</v>
      </c>
      <c r="AA308" s="1" t="s">
        <v>3330</v>
      </c>
      <c r="AB308" s="1" t="s">
        <v>3331</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74</v>
      </c>
      <c r="AP308" s="1" t="s">
        <v>3332</v>
      </c>
      <c r="AQ308" s="1" t="s">
        <v>74</v>
      </c>
      <c r="AR308" s="1" t="s">
        <v>74</v>
      </c>
      <c r="AS308" s="1" t="s">
        <v>74</v>
      </c>
      <c r="AT308" s="1" t="s">
        <v>3333</v>
      </c>
      <c r="AU308" s="1">
        <v>2019.0</v>
      </c>
      <c r="AV308" s="1">
        <v>10.0</v>
      </c>
      <c r="AW308" s="1" t="s">
        <v>74</v>
      </c>
      <c r="AX308" s="1" t="s">
        <v>74</v>
      </c>
      <c r="AY308" s="1" t="s">
        <v>74</v>
      </c>
      <c r="AZ308" s="1" t="s">
        <v>74</v>
      </c>
      <c r="BA308" s="1" t="s">
        <v>74</v>
      </c>
      <c r="BB308" s="1" t="s">
        <v>74</v>
      </c>
      <c r="BC308" s="1" t="s">
        <v>74</v>
      </c>
      <c r="BD308" s="1">
        <v>2408.0</v>
      </c>
      <c r="BE308" s="1" t="s">
        <v>3334</v>
      </c>
      <c r="BF308" s="2" t="str">
        <f>HYPERLINK("http://dx.doi.org/10.3389/fmicb.2019.02408","http://dx.doi.org/10.3389/fmicb.2019.02408")</f>
        <v>http://dx.doi.org/10.3389/fmicb.2019.02408</v>
      </c>
      <c r="BG308" s="1" t="s">
        <v>74</v>
      </c>
      <c r="BH308" s="1" t="s">
        <v>74</v>
      </c>
      <c r="BI308" s="1" t="s">
        <v>74</v>
      </c>
      <c r="BJ308" s="1" t="s">
        <v>74</v>
      </c>
      <c r="BK308" s="1" t="s">
        <v>74</v>
      </c>
      <c r="BL308" s="1" t="s">
        <v>74</v>
      </c>
      <c r="BM308" s="1" t="s">
        <v>74</v>
      </c>
      <c r="BN308" s="1">
        <v>3.1681251E7</v>
      </c>
      <c r="BO308" s="1" t="s">
        <v>74</v>
      </c>
      <c r="BP308" s="1" t="s">
        <v>74</v>
      </c>
      <c r="BQ308" s="1" t="s">
        <v>74</v>
      </c>
      <c r="BR308" s="1" t="s">
        <v>74</v>
      </c>
      <c r="BS308" s="1" t="s">
        <v>3335</v>
      </c>
      <c r="BT308" s="1" t="str">
        <f>HYPERLINK("https%3A%2F%2Fwww.webofscience.com%2Fwos%2Fwoscc%2Ffull-record%2FWOS:000491992700001","View Full Record in Web of Science")</f>
        <v>View Full Record in Web of Science</v>
      </c>
    </row>
    <row r="309" ht="12.75" customHeight="1">
      <c r="A309" s="1" t="s">
        <v>72</v>
      </c>
      <c r="B309" s="1" t="s">
        <v>3336</v>
      </c>
      <c r="C309" s="1" t="s">
        <v>74</v>
      </c>
      <c r="D309" s="1" t="s">
        <v>74</v>
      </c>
      <c r="E309" s="1" t="s">
        <v>74</v>
      </c>
      <c r="F309" s="1" t="s">
        <v>3337</v>
      </c>
      <c r="G309" s="1" t="s">
        <v>74</v>
      </c>
      <c r="H309" s="1" t="s">
        <v>74</v>
      </c>
      <c r="I309" s="1" t="s">
        <v>3338</v>
      </c>
      <c r="J309" s="1" t="s">
        <v>2379</v>
      </c>
      <c r="K309" s="1" t="s">
        <v>74</v>
      </c>
      <c r="L309" s="1" t="s">
        <v>74</v>
      </c>
      <c r="M309" s="1" t="s">
        <v>74</v>
      </c>
      <c r="N309" s="1" t="s">
        <v>74</v>
      </c>
      <c r="O309" s="1" t="s">
        <v>74</v>
      </c>
      <c r="P309" s="1" t="s">
        <v>74</v>
      </c>
      <c r="Q309" s="1" t="s">
        <v>74</v>
      </c>
      <c r="R309" s="1" t="s">
        <v>74</v>
      </c>
      <c r="S309" s="1" t="s">
        <v>74</v>
      </c>
      <c r="T309" s="1" t="s">
        <v>74</v>
      </c>
      <c r="U309" s="1" t="s">
        <v>74</v>
      </c>
      <c r="V309" s="1" t="s">
        <v>3339</v>
      </c>
      <c r="W309" s="1" t="s">
        <v>74</v>
      </c>
      <c r="X309" s="1" t="s">
        <v>74</v>
      </c>
      <c r="Y309" s="1" t="s">
        <v>74</v>
      </c>
      <c r="Z309" s="1" t="s">
        <v>74</v>
      </c>
      <c r="AA309" s="1" t="s">
        <v>3340</v>
      </c>
      <c r="AB309" s="1" t="s">
        <v>3341</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2383</v>
      </c>
      <c r="AP309" s="1" t="s">
        <v>2384</v>
      </c>
      <c r="AQ309" s="1" t="s">
        <v>74</v>
      </c>
      <c r="AR309" s="1" t="s">
        <v>74</v>
      </c>
      <c r="AS309" s="1" t="s">
        <v>74</v>
      </c>
      <c r="AT309" s="1" t="s">
        <v>3342</v>
      </c>
      <c r="AU309" s="1">
        <v>2018.0</v>
      </c>
      <c r="AV309" s="1">
        <v>47.0</v>
      </c>
      <c r="AW309" s="1">
        <v>5.0</v>
      </c>
      <c r="AX309" s="1" t="s">
        <v>74</v>
      </c>
      <c r="AY309" s="1" t="s">
        <v>74</v>
      </c>
      <c r="AZ309" s="1" t="s">
        <v>74</v>
      </c>
      <c r="BA309" s="1" t="s">
        <v>74</v>
      </c>
      <c r="BB309" s="1">
        <v>1635.0</v>
      </c>
      <c r="BC309" s="1">
        <v>1649.0</v>
      </c>
      <c r="BD309" s="1" t="s">
        <v>74</v>
      </c>
      <c r="BE309" s="1" t="s">
        <v>3343</v>
      </c>
      <c r="BF309" s="2" t="str">
        <f>HYPERLINK("http://dx.doi.org/10.1039/c7dt04142j","http://dx.doi.org/10.1039/c7dt04142j")</f>
        <v>http://dx.doi.org/10.1039/c7dt04142j</v>
      </c>
      <c r="BG309" s="1" t="s">
        <v>74</v>
      </c>
      <c r="BH309" s="1" t="s">
        <v>74</v>
      </c>
      <c r="BI309" s="1" t="s">
        <v>74</v>
      </c>
      <c r="BJ309" s="1" t="s">
        <v>74</v>
      </c>
      <c r="BK309" s="1" t="s">
        <v>74</v>
      </c>
      <c r="BL309" s="1" t="s">
        <v>74</v>
      </c>
      <c r="BM309" s="1" t="s">
        <v>74</v>
      </c>
      <c r="BN309" s="1">
        <v>2.9327756E7</v>
      </c>
      <c r="BO309" s="1" t="s">
        <v>74</v>
      </c>
      <c r="BP309" s="1" t="s">
        <v>74</v>
      </c>
      <c r="BQ309" s="1" t="s">
        <v>74</v>
      </c>
      <c r="BR309" s="1" t="s">
        <v>74</v>
      </c>
      <c r="BS309" s="1" t="s">
        <v>3344</v>
      </c>
      <c r="BT309" s="1" t="str">
        <f>HYPERLINK("https%3A%2F%2Fwww.webofscience.com%2Fwos%2Fwoscc%2Ffull-record%2FWOS:000423760500032","View Full Record in Web of Science")</f>
        <v>View Full Record in Web of Science</v>
      </c>
    </row>
    <row r="310" ht="12.75" customHeight="1">
      <c r="A310" s="1" t="s">
        <v>72</v>
      </c>
      <c r="B310" s="1" t="s">
        <v>3345</v>
      </c>
      <c r="C310" s="1" t="s">
        <v>74</v>
      </c>
      <c r="D310" s="1" t="s">
        <v>74</v>
      </c>
      <c r="E310" s="1" t="s">
        <v>74</v>
      </c>
      <c r="F310" s="1" t="s">
        <v>3346</v>
      </c>
      <c r="G310" s="1" t="s">
        <v>74</v>
      </c>
      <c r="H310" s="1" t="s">
        <v>74</v>
      </c>
      <c r="I310" s="1" t="s">
        <v>3347</v>
      </c>
      <c r="J310" s="1" t="s">
        <v>3348</v>
      </c>
      <c r="K310" s="1" t="s">
        <v>74</v>
      </c>
      <c r="L310" s="1" t="s">
        <v>74</v>
      </c>
      <c r="M310" s="1" t="s">
        <v>74</v>
      </c>
      <c r="N310" s="1" t="s">
        <v>74</v>
      </c>
      <c r="O310" s="1" t="s">
        <v>74</v>
      </c>
      <c r="P310" s="1" t="s">
        <v>74</v>
      </c>
      <c r="Q310" s="1" t="s">
        <v>74</v>
      </c>
      <c r="R310" s="1" t="s">
        <v>74</v>
      </c>
      <c r="S310" s="1" t="s">
        <v>74</v>
      </c>
      <c r="T310" s="1" t="s">
        <v>74</v>
      </c>
      <c r="U310" s="1" t="s">
        <v>74</v>
      </c>
      <c r="V310" s="1" t="s">
        <v>3349</v>
      </c>
      <c r="W310" s="1" t="s">
        <v>74</v>
      </c>
      <c r="X310" s="1" t="s">
        <v>74</v>
      </c>
      <c r="Y310" s="1" t="s">
        <v>74</v>
      </c>
      <c r="Z310" s="1" t="s">
        <v>74</v>
      </c>
      <c r="AA310" s="1" t="s">
        <v>3350</v>
      </c>
      <c r="AB310" s="1" t="s">
        <v>3351</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3352</v>
      </c>
      <c r="AP310" s="1" t="s">
        <v>3353</v>
      </c>
      <c r="AQ310" s="1" t="s">
        <v>74</v>
      </c>
      <c r="AR310" s="1" t="s">
        <v>74</v>
      </c>
      <c r="AS310" s="1" t="s">
        <v>74</v>
      </c>
      <c r="AT310" s="1" t="s">
        <v>2913</v>
      </c>
      <c r="AU310" s="1">
        <v>2017.0</v>
      </c>
      <c r="AV310" s="1">
        <v>139.0</v>
      </c>
      <c r="AW310" s="1">
        <v>16.0</v>
      </c>
      <c r="AX310" s="1" t="s">
        <v>74</v>
      </c>
      <c r="AY310" s="1" t="s">
        <v>74</v>
      </c>
      <c r="AZ310" s="1" t="s">
        <v>74</v>
      </c>
      <c r="BA310" s="1" t="s">
        <v>74</v>
      </c>
      <c r="BB310" s="1">
        <v>5768.0</v>
      </c>
      <c r="BC310" s="1">
        <v>5778.0</v>
      </c>
      <c r="BD310" s="1" t="s">
        <v>74</v>
      </c>
      <c r="BE310" s="1" t="s">
        <v>3354</v>
      </c>
      <c r="BF310" s="2" t="str">
        <f>HYPERLINK("http://dx.doi.org/10.1021/jacs.6b11166","http://dx.doi.org/10.1021/jacs.6b11166")</f>
        <v>http://dx.doi.org/10.1021/jacs.6b11166</v>
      </c>
      <c r="BG310" s="1" t="s">
        <v>74</v>
      </c>
      <c r="BH310" s="1" t="s">
        <v>74</v>
      </c>
      <c r="BI310" s="1" t="s">
        <v>74</v>
      </c>
      <c r="BJ310" s="1" t="s">
        <v>74</v>
      </c>
      <c r="BK310" s="1" t="s">
        <v>74</v>
      </c>
      <c r="BL310" s="1" t="s">
        <v>74</v>
      </c>
      <c r="BM310" s="1" t="s">
        <v>74</v>
      </c>
      <c r="BN310" s="1">
        <v>2.8215074E7</v>
      </c>
      <c r="BO310" s="1" t="s">
        <v>74</v>
      </c>
      <c r="BP310" s="1" t="s">
        <v>74</v>
      </c>
      <c r="BQ310" s="1" t="s">
        <v>74</v>
      </c>
      <c r="BR310" s="1" t="s">
        <v>74</v>
      </c>
      <c r="BS310" s="1" t="s">
        <v>3355</v>
      </c>
      <c r="BT310" s="1" t="str">
        <f>HYPERLINK("https%3A%2F%2Fwww.webofscience.com%2Fwos%2Fwoscc%2Ffull-record%2FWOS:000400321500030","View Full Record in Web of Science")</f>
        <v>View Full Record in Web of Science</v>
      </c>
    </row>
    <row r="311" ht="12.75" customHeight="1">
      <c r="A311" s="1" t="s">
        <v>72</v>
      </c>
      <c r="B311" s="1" t="s">
        <v>3356</v>
      </c>
      <c r="C311" s="1" t="s">
        <v>74</v>
      </c>
      <c r="D311" s="1" t="s">
        <v>74</v>
      </c>
      <c r="E311" s="1" t="s">
        <v>74</v>
      </c>
      <c r="F311" s="1" t="s">
        <v>3357</v>
      </c>
      <c r="G311" s="1" t="s">
        <v>74</v>
      </c>
      <c r="H311" s="1" t="s">
        <v>74</v>
      </c>
      <c r="I311" s="1" t="s">
        <v>3358</v>
      </c>
      <c r="J311" s="1" t="s">
        <v>3359</v>
      </c>
      <c r="K311" s="1" t="s">
        <v>74</v>
      </c>
      <c r="L311" s="1" t="s">
        <v>74</v>
      </c>
      <c r="M311" s="1" t="s">
        <v>74</v>
      </c>
      <c r="N311" s="1" t="s">
        <v>74</v>
      </c>
      <c r="O311" s="1" t="s">
        <v>74</v>
      </c>
      <c r="P311" s="1" t="s">
        <v>74</v>
      </c>
      <c r="Q311" s="1" t="s">
        <v>74</v>
      </c>
      <c r="R311" s="1" t="s">
        <v>74</v>
      </c>
      <c r="S311" s="1" t="s">
        <v>74</v>
      </c>
      <c r="T311" s="1" t="s">
        <v>74</v>
      </c>
      <c r="U311" s="1" t="s">
        <v>74</v>
      </c>
      <c r="V311" s="1" t="s">
        <v>3360</v>
      </c>
      <c r="W311" s="1" t="s">
        <v>74</v>
      </c>
      <c r="X311" s="1" t="s">
        <v>74</v>
      </c>
      <c r="Y311" s="1" t="s">
        <v>74</v>
      </c>
      <c r="Z311" s="1" t="s">
        <v>74</v>
      </c>
      <c r="AA311" s="1" t="s">
        <v>74</v>
      </c>
      <c r="AB311" s="1" t="s">
        <v>3361</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3362</v>
      </c>
      <c r="AP311" s="1" t="s">
        <v>3363</v>
      </c>
      <c r="AQ311" s="1" t="s">
        <v>74</v>
      </c>
      <c r="AR311" s="1" t="s">
        <v>74</v>
      </c>
      <c r="AS311" s="1" t="s">
        <v>74</v>
      </c>
      <c r="AT311" s="1" t="s">
        <v>3364</v>
      </c>
      <c r="AU311" s="1">
        <v>2024.0</v>
      </c>
      <c r="AV311" s="1">
        <v>133.0</v>
      </c>
      <c r="AW311" s="1" t="s">
        <v>74</v>
      </c>
      <c r="AX311" s="1" t="s">
        <v>74</v>
      </c>
      <c r="AY311" s="1" t="s">
        <v>74</v>
      </c>
      <c r="AZ311" s="1" t="s">
        <v>74</v>
      </c>
      <c r="BA311" s="1" t="s">
        <v>74</v>
      </c>
      <c r="BB311" s="1" t="s">
        <v>74</v>
      </c>
      <c r="BC311" s="1" t="s">
        <v>74</v>
      </c>
      <c r="BD311" s="1">
        <v>111001.0</v>
      </c>
      <c r="BE311" s="1" t="s">
        <v>3365</v>
      </c>
      <c r="BF311" s="2" t="str">
        <f>HYPERLINK("http://dx.doi.org/10.1016/j.pnpbp.2024.111001","http://dx.doi.org/10.1016/j.pnpbp.2024.111001")</f>
        <v>http://dx.doi.org/10.1016/j.pnpbp.2024.111001</v>
      </c>
      <c r="BG311" s="1" t="s">
        <v>74</v>
      </c>
      <c r="BH311" s="1" t="s">
        <v>371</v>
      </c>
      <c r="BI311" s="1" t="s">
        <v>74</v>
      </c>
      <c r="BJ311" s="1" t="s">
        <v>74</v>
      </c>
      <c r="BK311" s="1" t="s">
        <v>74</v>
      </c>
      <c r="BL311" s="1" t="s">
        <v>74</v>
      </c>
      <c r="BM311" s="1" t="s">
        <v>74</v>
      </c>
      <c r="BN311" s="1">
        <v>3.8565388E7</v>
      </c>
      <c r="BO311" s="1" t="s">
        <v>74</v>
      </c>
      <c r="BP311" s="1" t="s">
        <v>74</v>
      </c>
      <c r="BQ311" s="1" t="s">
        <v>74</v>
      </c>
      <c r="BR311" s="1" t="s">
        <v>74</v>
      </c>
      <c r="BS311" s="1" t="s">
        <v>3366</v>
      </c>
      <c r="BT311" s="1" t="str">
        <f>HYPERLINK("https%3A%2F%2Fwww.webofscience.com%2Fwos%2Fwoscc%2Ffull-record%2FWOS:001227397200001","View Full Record in Web of Science")</f>
        <v>View Full Record in Web of Science</v>
      </c>
    </row>
    <row r="312" ht="12.75" customHeight="1">
      <c r="A312" s="1" t="s">
        <v>72</v>
      </c>
      <c r="B312" s="1" t="s">
        <v>3367</v>
      </c>
      <c r="C312" s="1" t="s">
        <v>74</v>
      </c>
      <c r="D312" s="1" t="s">
        <v>74</v>
      </c>
      <c r="E312" s="1" t="s">
        <v>74</v>
      </c>
      <c r="F312" s="1" t="s">
        <v>3368</v>
      </c>
      <c r="G312" s="1" t="s">
        <v>74</v>
      </c>
      <c r="H312" s="1" t="s">
        <v>74</v>
      </c>
      <c r="I312" s="1" t="s">
        <v>3369</v>
      </c>
      <c r="J312" s="1" t="s">
        <v>480</v>
      </c>
      <c r="K312" s="1" t="s">
        <v>74</v>
      </c>
      <c r="L312" s="1" t="s">
        <v>74</v>
      </c>
      <c r="M312" s="1" t="s">
        <v>74</v>
      </c>
      <c r="N312" s="1" t="s">
        <v>74</v>
      </c>
      <c r="O312" s="1" t="s">
        <v>74</v>
      </c>
      <c r="P312" s="1" t="s">
        <v>74</v>
      </c>
      <c r="Q312" s="1" t="s">
        <v>74</v>
      </c>
      <c r="R312" s="1" t="s">
        <v>74</v>
      </c>
      <c r="S312" s="1" t="s">
        <v>74</v>
      </c>
      <c r="T312" s="1" t="s">
        <v>74</v>
      </c>
      <c r="U312" s="1" t="s">
        <v>74</v>
      </c>
      <c r="V312" s="1" t="s">
        <v>3370</v>
      </c>
      <c r="W312" s="1" t="s">
        <v>74</v>
      </c>
      <c r="X312" s="1" t="s">
        <v>74</v>
      </c>
      <c r="Y312" s="1" t="s">
        <v>74</v>
      </c>
      <c r="Z312" s="1" t="s">
        <v>74</v>
      </c>
      <c r="AA312" s="1" t="s">
        <v>3371</v>
      </c>
      <c r="AB312" s="1" t="s">
        <v>3372</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484</v>
      </c>
      <c r="AP312" s="1" t="s">
        <v>74</v>
      </c>
      <c r="AQ312" s="1" t="s">
        <v>74</v>
      </c>
      <c r="AR312" s="1" t="s">
        <v>74</v>
      </c>
      <c r="AS312" s="1" t="s">
        <v>74</v>
      </c>
      <c r="AT312" s="1" t="s">
        <v>3373</v>
      </c>
      <c r="AU312" s="1">
        <v>2023.0</v>
      </c>
      <c r="AV312" s="1">
        <v>13.0</v>
      </c>
      <c r="AW312" s="1">
        <v>1.0</v>
      </c>
      <c r="AX312" s="1" t="s">
        <v>74</v>
      </c>
      <c r="AY312" s="1" t="s">
        <v>74</v>
      </c>
      <c r="AZ312" s="1" t="s">
        <v>74</v>
      </c>
      <c r="BA312" s="1" t="s">
        <v>74</v>
      </c>
      <c r="BB312" s="1" t="s">
        <v>74</v>
      </c>
      <c r="BC312" s="1" t="s">
        <v>74</v>
      </c>
      <c r="BD312" s="1">
        <v>22650.0</v>
      </c>
      <c r="BE312" s="1" t="s">
        <v>3374</v>
      </c>
      <c r="BF312" s="2" t="str">
        <f>HYPERLINK("http://dx.doi.org/10.1038/s41598-023-48144-y","http://dx.doi.org/10.1038/s41598-023-48144-y")</f>
        <v>http://dx.doi.org/10.1038/s41598-023-48144-y</v>
      </c>
      <c r="BG312" s="1" t="s">
        <v>74</v>
      </c>
      <c r="BH312" s="1" t="s">
        <v>74</v>
      </c>
      <c r="BI312" s="1" t="s">
        <v>74</v>
      </c>
      <c r="BJ312" s="1" t="s">
        <v>74</v>
      </c>
      <c r="BK312" s="1" t="s">
        <v>74</v>
      </c>
      <c r="BL312" s="1" t="s">
        <v>74</v>
      </c>
      <c r="BM312" s="1" t="s">
        <v>74</v>
      </c>
      <c r="BN312" s="1">
        <v>3.8114537E7</v>
      </c>
      <c r="BO312" s="1" t="s">
        <v>74</v>
      </c>
      <c r="BP312" s="1" t="s">
        <v>74</v>
      </c>
      <c r="BQ312" s="1" t="s">
        <v>74</v>
      </c>
      <c r="BR312" s="1" t="s">
        <v>74</v>
      </c>
      <c r="BS312" s="1" t="s">
        <v>3375</v>
      </c>
      <c r="BT312" s="1" t="str">
        <f>HYPERLINK("https%3A%2F%2Fwww.webofscience.com%2Fwos%2Fwoscc%2Ffull-record%2FWOS:001132995200015","View Full Record in Web of Science")</f>
        <v>View Full Record in Web of Science</v>
      </c>
    </row>
    <row r="313" ht="12.75" customHeight="1">
      <c r="A313" s="1" t="s">
        <v>72</v>
      </c>
      <c r="B313" s="1" t="s">
        <v>3376</v>
      </c>
      <c r="C313" s="1" t="s">
        <v>74</v>
      </c>
      <c r="D313" s="1" t="s">
        <v>74</v>
      </c>
      <c r="E313" s="1" t="s">
        <v>74</v>
      </c>
      <c r="F313" s="1" t="s">
        <v>3377</v>
      </c>
      <c r="G313" s="1" t="s">
        <v>74</v>
      </c>
      <c r="H313" s="1" t="s">
        <v>74</v>
      </c>
      <c r="I313" s="1" t="s">
        <v>3378</v>
      </c>
      <c r="J313" s="1" t="s">
        <v>1561</v>
      </c>
      <c r="K313" s="1" t="s">
        <v>74</v>
      </c>
      <c r="L313" s="1" t="s">
        <v>74</v>
      </c>
      <c r="M313" s="1" t="s">
        <v>74</v>
      </c>
      <c r="N313" s="1" t="s">
        <v>74</v>
      </c>
      <c r="O313" s="1" t="s">
        <v>74</v>
      </c>
      <c r="P313" s="1" t="s">
        <v>74</v>
      </c>
      <c r="Q313" s="1" t="s">
        <v>74</v>
      </c>
      <c r="R313" s="1" t="s">
        <v>74</v>
      </c>
      <c r="S313" s="1" t="s">
        <v>74</v>
      </c>
      <c r="T313" s="1" t="s">
        <v>74</v>
      </c>
      <c r="U313" s="1" t="s">
        <v>74</v>
      </c>
      <c r="V313" s="1" t="s">
        <v>3379</v>
      </c>
      <c r="W313" s="1" t="s">
        <v>74</v>
      </c>
      <c r="X313" s="1" t="s">
        <v>74</v>
      </c>
      <c r="Y313" s="1" t="s">
        <v>74</v>
      </c>
      <c r="Z313" s="1" t="s">
        <v>74</v>
      </c>
      <c r="AA313" s="1" t="s">
        <v>3380</v>
      </c>
      <c r="AB313" s="1" t="s">
        <v>3381</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1565</v>
      </c>
      <c r="AP313" s="1" t="s">
        <v>74</v>
      </c>
      <c r="AQ313" s="1" t="s">
        <v>74</v>
      </c>
      <c r="AR313" s="1" t="s">
        <v>74</v>
      </c>
      <c r="AS313" s="1" t="s">
        <v>74</v>
      </c>
      <c r="AT313" s="1" t="s">
        <v>3382</v>
      </c>
      <c r="AU313" s="1">
        <v>2021.0</v>
      </c>
      <c r="AV313" s="1">
        <v>12.0</v>
      </c>
      <c r="AW313" s="1" t="s">
        <v>74</v>
      </c>
      <c r="AX313" s="1" t="s">
        <v>74</v>
      </c>
      <c r="AY313" s="1" t="s">
        <v>74</v>
      </c>
      <c r="AZ313" s="1" t="s">
        <v>74</v>
      </c>
      <c r="BA313" s="1" t="s">
        <v>74</v>
      </c>
      <c r="BB313" s="1" t="s">
        <v>74</v>
      </c>
      <c r="BC313" s="1" t="s">
        <v>74</v>
      </c>
      <c r="BD313" s="1">
        <v>625297.0</v>
      </c>
      <c r="BE313" s="1" t="s">
        <v>3383</v>
      </c>
      <c r="BF313" s="2" t="str">
        <f>HYPERLINK("http://dx.doi.org/10.3389/fimmu.2021.625297","http://dx.doi.org/10.3389/fimmu.2021.625297")</f>
        <v>http://dx.doi.org/10.3389/fimmu.2021.625297</v>
      </c>
      <c r="BG313" s="1" t="s">
        <v>74</v>
      </c>
      <c r="BH313" s="1" t="s">
        <v>74</v>
      </c>
      <c r="BI313" s="1" t="s">
        <v>74</v>
      </c>
      <c r="BJ313" s="1" t="s">
        <v>74</v>
      </c>
      <c r="BK313" s="1" t="s">
        <v>74</v>
      </c>
      <c r="BL313" s="1" t="s">
        <v>74</v>
      </c>
      <c r="BM313" s="1" t="s">
        <v>74</v>
      </c>
      <c r="BN313" s="1">
        <v>3.3746962E7</v>
      </c>
      <c r="BO313" s="1" t="s">
        <v>74</v>
      </c>
      <c r="BP313" s="1" t="s">
        <v>74</v>
      </c>
      <c r="BQ313" s="1" t="s">
        <v>74</v>
      </c>
      <c r="BR313" s="1" t="s">
        <v>74</v>
      </c>
      <c r="BS313" s="1" t="s">
        <v>3384</v>
      </c>
      <c r="BT313" s="1" t="str">
        <f>HYPERLINK("https%3A%2F%2Fwww.webofscience.com%2Fwos%2Fwoscc%2Ffull-record%2FWOS:000630006600001","View Full Record in Web of Science")</f>
        <v>View Full Record in Web of Science</v>
      </c>
    </row>
    <row r="314" ht="12.75" customHeight="1">
      <c r="A314" s="1" t="s">
        <v>72</v>
      </c>
      <c r="B314" s="1" t="s">
        <v>3385</v>
      </c>
      <c r="C314" s="1" t="s">
        <v>74</v>
      </c>
      <c r="D314" s="1" t="s">
        <v>74</v>
      </c>
      <c r="E314" s="1" t="s">
        <v>74</v>
      </c>
      <c r="F314" s="1" t="s">
        <v>3386</v>
      </c>
      <c r="G314" s="1" t="s">
        <v>74</v>
      </c>
      <c r="H314" s="1" t="s">
        <v>74</v>
      </c>
      <c r="I314" s="1" t="s">
        <v>3387</v>
      </c>
      <c r="J314" s="1" t="s">
        <v>3388</v>
      </c>
      <c r="K314" s="1" t="s">
        <v>74</v>
      </c>
      <c r="L314" s="1" t="s">
        <v>74</v>
      </c>
      <c r="M314" s="1" t="s">
        <v>74</v>
      </c>
      <c r="N314" s="1" t="s">
        <v>74</v>
      </c>
      <c r="O314" s="1" t="s">
        <v>74</v>
      </c>
      <c r="P314" s="1" t="s">
        <v>74</v>
      </c>
      <c r="Q314" s="1" t="s">
        <v>74</v>
      </c>
      <c r="R314" s="1" t="s">
        <v>74</v>
      </c>
      <c r="S314" s="1" t="s">
        <v>74</v>
      </c>
      <c r="T314" s="1" t="s">
        <v>74</v>
      </c>
      <c r="U314" s="1" t="s">
        <v>74</v>
      </c>
      <c r="V314" s="1" t="s">
        <v>3389</v>
      </c>
      <c r="W314" s="1" t="s">
        <v>74</v>
      </c>
      <c r="X314" s="1" t="s">
        <v>74</v>
      </c>
      <c r="Y314" s="1" t="s">
        <v>74</v>
      </c>
      <c r="Z314" s="1" t="s">
        <v>74</v>
      </c>
      <c r="AA314" s="1" t="s">
        <v>3390</v>
      </c>
      <c r="AB314" s="1" t="s">
        <v>3391</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3392</v>
      </c>
      <c r="AP314" s="1" t="s">
        <v>3393</v>
      </c>
      <c r="AQ314" s="1" t="s">
        <v>74</v>
      </c>
      <c r="AR314" s="1" t="s">
        <v>74</v>
      </c>
      <c r="AS314" s="1" t="s">
        <v>74</v>
      </c>
      <c r="AT314" s="1" t="s">
        <v>3394</v>
      </c>
      <c r="AU314" s="1">
        <v>2006.0</v>
      </c>
      <c r="AV314" s="1">
        <v>21.0</v>
      </c>
      <c r="AW314" s="1">
        <v>11.0</v>
      </c>
      <c r="AX314" s="1" t="s">
        <v>74</v>
      </c>
      <c r="AY314" s="1" t="s">
        <v>74</v>
      </c>
      <c r="AZ314" s="1" t="s">
        <v>74</v>
      </c>
      <c r="BA314" s="1" t="s">
        <v>74</v>
      </c>
      <c r="BB314" s="1">
        <v>883.0</v>
      </c>
      <c r="BC314" s="1">
        <v>892.0</v>
      </c>
      <c r="BD314" s="1" t="s">
        <v>74</v>
      </c>
      <c r="BE314" s="1" t="s">
        <v>3395</v>
      </c>
      <c r="BF314" s="2" t="str">
        <f>HYPERLINK("http://dx.doi.org/10.1142/S0217732306020111","http://dx.doi.org/10.1142/S0217732306020111")</f>
        <v>http://dx.doi.org/10.1142/S0217732306020111</v>
      </c>
      <c r="BG314" s="1" t="s">
        <v>74</v>
      </c>
      <c r="BH314" s="1" t="s">
        <v>74</v>
      </c>
      <c r="BI314" s="1" t="s">
        <v>74</v>
      </c>
      <c r="BJ314" s="1" t="s">
        <v>74</v>
      </c>
      <c r="BK314" s="1" t="s">
        <v>74</v>
      </c>
      <c r="BL314" s="1" t="s">
        <v>74</v>
      </c>
      <c r="BM314" s="1" t="s">
        <v>74</v>
      </c>
      <c r="BN314" s="1" t="s">
        <v>74</v>
      </c>
      <c r="BO314" s="1" t="s">
        <v>74</v>
      </c>
      <c r="BP314" s="1" t="s">
        <v>74</v>
      </c>
      <c r="BQ314" s="1" t="s">
        <v>74</v>
      </c>
      <c r="BR314" s="1" t="s">
        <v>74</v>
      </c>
      <c r="BS314" s="1" t="s">
        <v>3396</v>
      </c>
      <c r="BT314" s="1" t="str">
        <f>HYPERLINK("https%3A%2F%2Fwww.webofscience.com%2Fwos%2Fwoscc%2Ffull-record%2FWOS:000237457700004","View Full Record in Web of Science")</f>
        <v>View Full Record in Web of Science</v>
      </c>
    </row>
    <row r="315" ht="12.75" customHeight="1">
      <c r="A315" s="1" t="s">
        <v>72</v>
      </c>
      <c r="B315" s="1" t="s">
        <v>3397</v>
      </c>
      <c r="C315" s="1" t="s">
        <v>74</v>
      </c>
      <c r="D315" s="1" t="s">
        <v>74</v>
      </c>
      <c r="E315" s="1" t="s">
        <v>74</v>
      </c>
      <c r="F315" s="1" t="s">
        <v>3398</v>
      </c>
      <c r="G315" s="1" t="s">
        <v>74</v>
      </c>
      <c r="H315" s="1" t="s">
        <v>74</v>
      </c>
      <c r="I315" s="1" t="s">
        <v>3399</v>
      </c>
      <c r="J315" s="1" t="s">
        <v>480</v>
      </c>
      <c r="K315" s="1" t="s">
        <v>74</v>
      </c>
      <c r="L315" s="1" t="s">
        <v>74</v>
      </c>
      <c r="M315" s="1" t="s">
        <v>74</v>
      </c>
      <c r="N315" s="1" t="s">
        <v>74</v>
      </c>
      <c r="O315" s="1" t="s">
        <v>74</v>
      </c>
      <c r="P315" s="1" t="s">
        <v>74</v>
      </c>
      <c r="Q315" s="1" t="s">
        <v>74</v>
      </c>
      <c r="R315" s="1" t="s">
        <v>74</v>
      </c>
      <c r="S315" s="1" t="s">
        <v>74</v>
      </c>
      <c r="T315" s="1" t="s">
        <v>74</v>
      </c>
      <c r="U315" s="1" t="s">
        <v>74</v>
      </c>
      <c r="V315" s="1" t="s">
        <v>3400</v>
      </c>
      <c r="W315" s="1" t="s">
        <v>74</v>
      </c>
      <c r="X315" s="1" t="s">
        <v>74</v>
      </c>
      <c r="Y315" s="1" t="s">
        <v>74</v>
      </c>
      <c r="Z315" s="1" t="s">
        <v>74</v>
      </c>
      <c r="AA315" s="1" t="s">
        <v>3401</v>
      </c>
      <c r="AB315" s="1" t="s">
        <v>74</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484</v>
      </c>
      <c r="AP315" s="1" t="s">
        <v>74</v>
      </c>
      <c r="AQ315" s="1" t="s">
        <v>74</v>
      </c>
      <c r="AR315" s="1" t="s">
        <v>74</v>
      </c>
      <c r="AS315" s="1" t="s">
        <v>74</v>
      </c>
      <c r="AT315" s="1" t="s">
        <v>3402</v>
      </c>
      <c r="AU315" s="1">
        <v>2025.0</v>
      </c>
      <c r="AV315" s="1">
        <v>15.0</v>
      </c>
      <c r="AW315" s="1">
        <v>1.0</v>
      </c>
      <c r="AX315" s="1" t="s">
        <v>74</v>
      </c>
      <c r="AY315" s="1" t="s">
        <v>74</v>
      </c>
      <c r="AZ315" s="1" t="s">
        <v>74</v>
      </c>
      <c r="BA315" s="1" t="s">
        <v>74</v>
      </c>
      <c r="BB315" s="1" t="s">
        <v>74</v>
      </c>
      <c r="BC315" s="1" t="s">
        <v>74</v>
      </c>
      <c r="BD315" s="1">
        <v>4081.0</v>
      </c>
      <c r="BE315" s="1" t="s">
        <v>3403</v>
      </c>
      <c r="BF315" s="2" t="str">
        <f>HYPERLINK("http://dx.doi.org/10.1038/s41598-025-88230-x","http://dx.doi.org/10.1038/s41598-025-88230-x")</f>
        <v>http://dx.doi.org/10.1038/s41598-025-88230-x</v>
      </c>
      <c r="BG315" s="1" t="s">
        <v>74</v>
      </c>
      <c r="BH315" s="1" t="s">
        <v>74</v>
      </c>
      <c r="BI315" s="1" t="s">
        <v>74</v>
      </c>
      <c r="BJ315" s="1" t="s">
        <v>74</v>
      </c>
      <c r="BK315" s="1" t="s">
        <v>74</v>
      </c>
      <c r="BL315" s="1" t="s">
        <v>74</v>
      </c>
      <c r="BM315" s="1" t="s">
        <v>74</v>
      </c>
      <c r="BN315" s="1">
        <v>3.9900618E7</v>
      </c>
      <c r="BO315" s="1" t="s">
        <v>74</v>
      </c>
      <c r="BP315" s="1" t="s">
        <v>74</v>
      </c>
      <c r="BQ315" s="1" t="s">
        <v>74</v>
      </c>
      <c r="BR315" s="1" t="s">
        <v>74</v>
      </c>
      <c r="BS315" s="1" t="s">
        <v>3404</v>
      </c>
      <c r="BT315" s="1" t="str">
        <f>HYPERLINK("https%3A%2F%2Fwww.webofscience.com%2Fwos%2Fwoscc%2Ffull-record%2FWOS:001413871500003","View Full Record in Web of Science")</f>
        <v>View Full Record in Web of Science</v>
      </c>
    </row>
    <row r="316" ht="12.75" customHeight="1">
      <c r="A316" s="1" t="s">
        <v>72</v>
      </c>
      <c r="B316" s="1" t="s">
        <v>3405</v>
      </c>
      <c r="C316" s="1" t="s">
        <v>74</v>
      </c>
      <c r="D316" s="1" t="s">
        <v>74</v>
      </c>
      <c r="E316" s="1" t="s">
        <v>74</v>
      </c>
      <c r="F316" s="1" t="s">
        <v>3406</v>
      </c>
      <c r="G316" s="1" t="s">
        <v>74</v>
      </c>
      <c r="H316" s="1" t="s">
        <v>74</v>
      </c>
      <c r="I316" s="1" t="s">
        <v>3407</v>
      </c>
      <c r="J316" s="1" t="s">
        <v>1181</v>
      </c>
      <c r="K316" s="1" t="s">
        <v>74</v>
      </c>
      <c r="L316" s="1" t="s">
        <v>74</v>
      </c>
      <c r="M316" s="1" t="s">
        <v>74</v>
      </c>
      <c r="N316" s="1" t="s">
        <v>74</v>
      </c>
      <c r="O316" s="1" t="s">
        <v>74</v>
      </c>
      <c r="P316" s="1" t="s">
        <v>74</v>
      </c>
      <c r="Q316" s="1" t="s">
        <v>74</v>
      </c>
      <c r="R316" s="1" t="s">
        <v>74</v>
      </c>
      <c r="S316" s="1" t="s">
        <v>74</v>
      </c>
      <c r="T316" s="1" t="s">
        <v>74</v>
      </c>
      <c r="U316" s="1" t="s">
        <v>74</v>
      </c>
      <c r="V316" s="1" t="s">
        <v>3408</v>
      </c>
      <c r="W316" s="1" t="s">
        <v>74</v>
      </c>
      <c r="X316" s="1" t="s">
        <v>74</v>
      </c>
      <c r="Y316" s="1" t="s">
        <v>74</v>
      </c>
      <c r="Z316" s="1" t="s">
        <v>74</v>
      </c>
      <c r="AA316" s="1" t="s">
        <v>3409</v>
      </c>
      <c r="AB316" s="1" t="s">
        <v>3410</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1185</v>
      </c>
      <c r="AP316" s="1" t="s">
        <v>1186</v>
      </c>
      <c r="AQ316" s="1" t="s">
        <v>74</v>
      </c>
      <c r="AR316" s="1" t="s">
        <v>74</v>
      </c>
      <c r="AS316" s="1" t="s">
        <v>74</v>
      </c>
      <c r="AT316" s="1" t="s">
        <v>3411</v>
      </c>
      <c r="AU316" s="1">
        <v>2024.0</v>
      </c>
      <c r="AV316" s="1">
        <v>57.0</v>
      </c>
      <c r="AW316" s="1">
        <v>1.0</v>
      </c>
      <c r="AX316" s="1" t="s">
        <v>74</v>
      </c>
      <c r="AY316" s="1" t="s">
        <v>74</v>
      </c>
      <c r="AZ316" s="1" t="s">
        <v>74</v>
      </c>
      <c r="BA316" s="1" t="s">
        <v>74</v>
      </c>
      <c r="BB316" s="1" t="s">
        <v>74</v>
      </c>
      <c r="BC316" s="1" t="s">
        <v>74</v>
      </c>
      <c r="BD316" s="1">
        <v>48.0</v>
      </c>
      <c r="BE316" s="1" t="s">
        <v>3412</v>
      </c>
      <c r="BF316" s="2" t="str">
        <f>HYPERLINK("http://dx.doi.org/10.1186/s40659-024-00529-7","http://dx.doi.org/10.1186/s40659-024-00529-7")</f>
        <v>http://dx.doi.org/10.1186/s40659-024-00529-7</v>
      </c>
      <c r="BG316" s="1" t="s">
        <v>74</v>
      </c>
      <c r="BH316" s="1" t="s">
        <v>74</v>
      </c>
      <c r="BI316" s="1" t="s">
        <v>74</v>
      </c>
      <c r="BJ316" s="1" t="s">
        <v>74</v>
      </c>
      <c r="BK316" s="1" t="s">
        <v>74</v>
      </c>
      <c r="BL316" s="1" t="s">
        <v>74</v>
      </c>
      <c r="BM316" s="1" t="s">
        <v>74</v>
      </c>
      <c r="BN316" s="1">
        <v>3.9034395E7</v>
      </c>
      <c r="BO316" s="1" t="s">
        <v>74</v>
      </c>
      <c r="BP316" s="1" t="s">
        <v>74</v>
      </c>
      <c r="BQ316" s="1" t="s">
        <v>74</v>
      </c>
      <c r="BR316" s="1" t="s">
        <v>74</v>
      </c>
      <c r="BS316" s="1" t="s">
        <v>3413</v>
      </c>
      <c r="BT316" s="1" t="str">
        <f>HYPERLINK("https%3A%2F%2Fwww.webofscience.com%2Fwos%2Fwoscc%2Ffull-record%2FWOS:001273093300001","View Full Record in Web of Science")</f>
        <v>View Full Record in Web of Science</v>
      </c>
    </row>
    <row r="317" ht="12.75" customHeight="1">
      <c r="A317" s="1" t="s">
        <v>72</v>
      </c>
      <c r="B317" s="1" t="s">
        <v>3414</v>
      </c>
      <c r="C317" s="1" t="s">
        <v>74</v>
      </c>
      <c r="D317" s="1" t="s">
        <v>74</v>
      </c>
      <c r="E317" s="1" t="s">
        <v>74</v>
      </c>
      <c r="F317" s="1" t="s">
        <v>3415</v>
      </c>
      <c r="G317" s="1" t="s">
        <v>74</v>
      </c>
      <c r="H317" s="1" t="s">
        <v>74</v>
      </c>
      <c r="I317" s="1" t="s">
        <v>3416</v>
      </c>
      <c r="J317" s="1" t="s">
        <v>3417</v>
      </c>
      <c r="K317" s="1" t="s">
        <v>74</v>
      </c>
      <c r="L317" s="1" t="s">
        <v>74</v>
      </c>
      <c r="M317" s="1" t="s">
        <v>74</v>
      </c>
      <c r="N317" s="1" t="s">
        <v>74</v>
      </c>
      <c r="O317" s="1" t="s">
        <v>74</v>
      </c>
      <c r="P317" s="1" t="s">
        <v>74</v>
      </c>
      <c r="Q317" s="1" t="s">
        <v>74</v>
      </c>
      <c r="R317" s="1" t="s">
        <v>74</v>
      </c>
      <c r="S317" s="1" t="s">
        <v>74</v>
      </c>
      <c r="T317" s="1" t="s">
        <v>74</v>
      </c>
      <c r="U317" s="1" t="s">
        <v>74</v>
      </c>
      <c r="V317" s="1" t="s">
        <v>3418</v>
      </c>
      <c r="W317" s="1" t="s">
        <v>74</v>
      </c>
      <c r="X317" s="1" t="s">
        <v>74</v>
      </c>
      <c r="Y317" s="1" t="s">
        <v>74</v>
      </c>
      <c r="Z317" s="1" t="s">
        <v>74</v>
      </c>
      <c r="AA317" s="1" t="s">
        <v>3419</v>
      </c>
      <c r="AB317" s="1" t="s">
        <v>3420</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3421</v>
      </c>
      <c r="AP317" s="1" t="s">
        <v>74</v>
      </c>
      <c r="AQ317" s="1" t="s">
        <v>74</v>
      </c>
      <c r="AR317" s="1" t="s">
        <v>74</v>
      </c>
      <c r="AS317" s="1" t="s">
        <v>74</v>
      </c>
      <c r="AT317" s="1" t="s">
        <v>3411</v>
      </c>
      <c r="AU317" s="1">
        <v>2022.0</v>
      </c>
      <c r="AV317" s="1">
        <v>10.0</v>
      </c>
      <c r="AW317" s="1" t="s">
        <v>74</v>
      </c>
      <c r="AX317" s="1" t="s">
        <v>74</v>
      </c>
      <c r="AY317" s="1" t="s">
        <v>74</v>
      </c>
      <c r="AZ317" s="1" t="s">
        <v>74</v>
      </c>
      <c r="BA317" s="1" t="s">
        <v>74</v>
      </c>
      <c r="BB317" s="1" t="s">
        <v>74</v>
      </c>
      <c r="BC317" s="1" t="s">
        <v>74</v>
      </c>
      <c r="BD317" s="1">
        <v>903131.0</v>
      </c>
      <c r="BE317" s="1" t="s">
        <v>3422</v>
      </c>
      <c r="BF317" s="2" t="str">
        <f>HYPERLINK("http://dx.doi.org/10.3389/fbioe.2022.903131","http://dx.doi.org/10.3389/fbioe.2022.903131")</f>
        <v>http://dx.doi.org/10.3389/fbioe.2022.903131</v>
      </c>
      <c r="BG317" s="1" t="s">
        <v>74</v>
      </c>
      <c r="BH317" s="1" t="s">
        <v>74</v>
      </c>
      <c r="BI317" s="1" t="s">
        <v>74</v>
      </c>
      <c r="BJ317" s="1" t="s">
        <v>74</v>
      </c>
      <c r="BK317" s="1" t="s">
        <v>74</v>
      </c>
      <c r="BL317" s="1" t="s">
        <v>74</v>
      </c>
      <c r="BM317" s="1" t="s">
        <v>74</v>
      </c>
      <c r="BN317" s="1">
        <v>3.5935511E7</v>
      </c>
      <c r="BO317" s="1" t="s">
        <v>74</v>
      </c>
      <c r="BP317" s="1" t="s">
        <v>74</v>
      </c>
      <c r="BQ317" s="1" t="s">
        <v>74</v>
      </c>
      <c r="BR317" s="1" t="s">
        <v>74</v>
      </c>
      <c r="BS317" s="1" t="s">
        <v>3423</v>
      </c>
      <c r="BT317" s="1" t="str">
        <f>HYPERLINK("https%3A%2F%2Fwww.webofscience.com%2Fwos%2Fwoscc%2Ffull-record%2FWOS:000837075800001","View Full Record in Web of Science")</f>
        <v>View Full Record in Web of Science</v>
      </c>
    </row>
    <row r="318" ht="12.75" customHeight="1">
      <c r="A318" s="1" t="s">
        <v>72</v>
      </c>
      <c r="B318" s="1" t="s">
        <v>3424</v>
      </c>
      <c r="C318" s="1" t="s">
        <v>74</v>
      </c>
      <c r="D318" s="1" t="s">
        <v>74</v>
      </c>
      <c r="E318" s="1" t="s">
        <v>74</v>
      </c>
      <c r="F318" s="1" t="s">
        <v>3425</v>
      </c>
      <c r="G318" s="1" t="s">
        <v>74</v>
      </c>
      <c r="H318" s="1" t="s">
        <v>74</v>
      </c>
      <c r="I318" s="1" t="s">
        <v>3426</v>
      </c>
      <c r="J318" s="1" t="s">
        <v>871</v>
      </c>
      <c r="K318" s="1" t="s">
        <v>74</v>
      </c>
      <c r="L318" s="1" t="s">
        <v>74</v>
      </c>
      <c r="M318" s="1" t="s">
        <v>74</v>
      </c>
      <c r="N318" s="1" t="s">
        <v>74</v>
      </c>
      <c r="O318" s="1" t="s">
        <v>74</v>
      </c>
      <c r="P318" s="1" t="s">
        <v>74</v>
      </c>
      <c r="Q318" s="1" t="s">
        <v>74</v>
      </c>
      <c r="R318" s="1" t="s">
        <v>74</v>
      </c>
      <c r="S318" s="1" t="s">
        <v>74</v>
      </c>
      <c r="T318" s="1" t="s">
        <v>74</v>
      </c>
      <c r="U318" s="1" t="s">
        <v>74</v>
      </c>
      <c r="V318" s="1" t="s">
        <v>3427</v>
      </c>
      <c r="W318" s="1" t="s">
        <v>74</v>
      </c>
      <c r="X318" s="1" t="s">
        <v>74</v>
      </c>
      <c r="Y318" s="1" t="s">
        <v>74</v>
      </c>
      <c r="Z318" s="1" t="s">
        <v>74</v>
      </c>
      <c r="AA318" s="1" t="s">
        <v>3428</v>
      </c>
      <c r="AB318" s="1" t="s">
        <v>3429</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74</v>
      </c>
      <c r="AP318" s="1" t="s">
        <v>875</v>
      </c>
      <c r="AQ318" s="1" t="s">
        <v>74</v>
      </c>
      <c r="AR318" s="1" t="s">
        <v>74</v>
      </c>
      <c r="AS318" s="1" t="s">
        <v>74</v>
      </c>
      <c r="AT318" s="1" t="s">
        <v>334</v>
      </c>
      <c r="AU318" s="1">
        <v>2017.0</v>
      </c>
      <c r="AV318" s="1">
        <v>10.0</v>
      </c>
      <c r="AW318" s="1">
        <v>10.0</v>
      </c>
      <c r="AX318" s="1" t="s">
        <v>74</v>
      </c>
      <c r="AY318" s="1" t="s">
        <v>74</v>
      </c>
      <c r="AZ318" s="1" t="s">
        <v>74</v>
      </c>
      <c r="BA318" s="1" t="s">
        <v>74</v>
      </c>
      <c r="BB318" s="1" t="s">
        <v>74</v>
      </c>
      <c r="BC318" s="1" t="s">
        <v>74</v>
      </c>
      <c r="BD318" s="1">
        <v>1122.0</v>
      </c>
      <c r="BE318" s="1" t="s">
        <v>3430</v>
      </c>
      <c r="BF318" s="2" t="str">
        <f>HYPERLINK("http://dx.doi.org/10.3390/ma10101122","http://dx.doi.org/10.3390/ma10101122")</f>
        <v>http://dx.doi.org/10.3390/ma10101122</v>
      </c>
      <c r="BG318" s="1" t="s">
        <v>74</v>
      </c>
      <c r="BH318" s="1" t="s">
        <v>74</v>
      </c>
      <c r="BI318" s="1" t="s">
        <v>74</v>
      </c>
      <c r="BJ318" s="1" t="s">
        <v>74</v>
      </c>
      <c r="BK318" s="1" t="s">
        <v>74</v>
      </c>
      <c r="BL318" s="1" t="s">
        <v>74</v>
      </c>
      <c r="BM318" s="1" t="s">
        <v>74</v>
      </c>
      <c r="BN318" s="1">
        <v>2.8937646E7</v>
      </c>
      <c r="BO318" s="1" t="s">
        <v>74</v>
      </c>
      <c r="BP318" s="1" t="s">
        <v>74</v>
      </c>
      <c r="BQ318" s="1" t="s">
        <v>74</v>
      </c>
      <c r="BR318" s="1" t="s">
        <v>74</v>
      </c>
      <c r="BS318" s="1" t="s">
        <v>3431</v>
      </c>
      <c r="BT318" s="1" t="str">
        <f>HYPERLINK("https%3A%2F%2Fwww.webofscience.com%2Fwos%2Fwoscc%2Ffull-record%2FWOS:000414639000017","View Full Record in Web of Science")</f>
        <v>View Full Record in Web of Science</v>
      </c>
    </row>
    <row r="319" ht="12.75" customHeight="1">
      <c r="A319" s="1" t="s">
        <v>72</v>
      </c>
      <c r="B319" s="1" t="s">
        <v>3432</v>
      </c>
      <c r="C319" s="1" t="s">
        <v>74</v>
      </c>
      <c r="D319" s="1" t="s">
        <v>74</v>
      </c>
      <c r="E319" s="1" t="s">
        <v>74</v>
      </c>
      <c r="F319" s="1" t="s">
        <v>3433</v>
      </c>
      <c r="G319" s="1" t="s">
        <v>74</v>
      </c>
      <c r="H319" s="1" t="s">
        <v>74</v>
      </c>
      <c r="I319" s="1" t="s">
        <v>3434</v>
      </c>
      <c r="J319" s="1" t="s">
        <v>480</v>
      </c>
      <c r="K319" s="1" t="s">
        <v>74</v>
      </c>
      <c r="L319" s="1" t="s">
        <v>74</v>
      </c>
      <c r="M319" s="1" t="s">
        <v>74</v>
      </c>
      <c r="N319" s="1" t="s">
        <v>74</v>
      </c>
      <c r="O319" s="1" t="s">
        <v>74</v>
      </c>
      <c r="P319" s="1" t="s">
        <v>74</v>
      </c>
      <c r="Q319" s="1" t="s">
        <v>74</v>
      </c>
      <c r="R319" s="1" t="s">
        <v>74</v>
      </c>
      <c r="S319" s="1" t="s">
        <v>74</v>
      </c>
      <c r="T319" s="1" t="s">
        <v>74</v>
      </c>
      <c r="U319" s="1" t="s">
        <v>74</v>
      </c>
      <c r="V319" s="1" t="s">
        <v>3435</v>
      </c>
      <c r="W319" s="1" t="s">
        <v>74</v>
      </c>
      <c r="X319" s="1" t="s">
        <v>74</v>
      </c>
      <c r="Y319" s="1" t="s">
        <v>74</v>
      </c>
      <c r="Z319" s="1" t="s">
        <v>74</v>
      </c>
      <c r="AA319" s="1" t="s">
        <v>3436</v>
      </c>
      <c r="AB319" s="1" t="s">
        <v>3437</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484</v>
      </c>
      <c r="AP319" s="1" t="s">
        <v>74</v>
      </c>
      <c r="AQ319" s="1" t="s">
        <v>74</v>
      </c>
      <c r="AR319" s="1" t="s">
        <v>74</v>
      </c>
      <c r="AS319" s="1" t="s">
        <v>74</v>
      </c>
      <c r="AT319" s="1" t="s">
        <v>3438</v>
      </c>
      <c r="AU319" s="1">
        <v>2016.0</v>
      </c>
      <c r="AV319" s="1">
        <v>6.0</v>
      </c>
      <c r="AW319" s="1" t="s">
        <v>74</v>
      </c>
      <c r="AX319" s="1" t="s">
        <v>74</v>
      </c>
      <c r="AY319" s="1" t="s">
        <v>74</v>
      </c>
      <c r="AZ319" s="1" t="s">
        <v>74</v>
      </c>
      <c r="BA319" s="1" t="s">
        <v>74</v>
      </c>
      <c r="BB319" s="1" t="s">
        <v>74</v>
      </c>
      <c r="BC319" s="1" t="s">
        <v>74</v>
      </c>
      <c r="BD319" s="1">
        <v>26720.0</v>
      </c>
      <c r="BE319" s="1" t="s">
        <v>3439</v>
      </c>
      <c r="BF319" s="2" t="str">
        <f>HYPERLINK("http://dx.doi.org/10.1038/srep26720","http://dx.doi.org/10.1038/srep26720")</f>
        <v>http://dx.doi.org/10.1038/srep26720</v>
      </c>
      <c r="BG319" s="1" t="s">
        <v>74</v>
      </c>
      <c r="BH319" s="1" t="s">
        <v>74</v>
      </c>
      <c r="BI319" s="1" t="s">
        <v>74</v>
      </c>
      <c r="BJ319" s="1" t="s">
        <v>74</v>
      </c>
      <c r="BK319" s="1" t="s">
        <v>74</v>
      </c>
      <c r="BL319" s="1" t="s">
        <v>74</v>
      </c>
      <c r="BM319" s="1" t="s">
        <v>74</v>
      </c>
      <c r="BN319" s="1">
        <v>2.7273346E7</v>
      </c>
      <c r="BO319" s="1" t="s">
        <v>74</v>
      </c>
      <c r="BP319" s="1" t="s">
        <v>74</v>
      </c>
      <c r="BQ319" s="1" t="s">
        <v>74</v>
      </c>
      <c r="BR319" s="1" t="s">
        <v>74</v>
      </c>
      <c r="BS319" s="1" t="s">
        <v>3440</v>
      </c>
      <c r="BT319" s="1" t="str">
        <f>HYPERLINK("https%3A%2F%2Fwww.webofscience.com%2Fwos%2Fwoscc%2Ffull-record%2FWOS:000377661600001","View Full Record in Web of Science")</f>
        <v>View Full Record in Web of Science</v>
      </c>
    </row>
    <row r="320" ht="12.75" customHeight="1">
      <c r="A320" s="1" t="s">
        <v>72</v>
      </c>
      <c r="B320" s="1" t="s">
        <v>3441</v>
      </c>
      <c r="C320" s="1" t="s">
        <v>74</v>
      </c>
      <c r="D320" s="1" t="s">
        <v>74</v>
      </c>
      <c r="E320" s="1" t="s">
        <v>74</v>
      </c>
      <c r="F320" s="1" t="s">
        <v>3442</v>
      </c>
      <c r="G320" s="1" t="s">
        <v>74</v>
      </c>
      <c r="H320" s="1" t="s">
        <v>74</v>
      </c>
      <c r="I320" s="1" t="s">
        <v>3443</v>
      </c>
      <c r="J320" s="1" t="s">
        <v>3444</v>
      </c>
      <c r="K320" s="1" t="s">
        <v>74</v>
      </c>
      <c r="L320" s="1" t="s">
        <v>74</v>
      </c>
      <c r="M320" s="1" t="s">
        <v>74</v>
      </c>
      <c r="N320" s="1" t="s">
        <v>74</v>
      </c>
      <c r="O320" s="1" t="s">
        <v>74</v>
      </c>
      <c r="P320" s="1" t="s">
        <v>74</v>
      </c>
      <c r="Q320" s="1" t="s">
        <v>74</v>
      </c>
      <c r="R320" s="1" t="s">
        <v>74</v>
      </c>
      <c r="S320" s="1" t="s">
        <v>74</v>
      </c>
      <c r="T320" s="1" t="s">
        <v>74</v>
      </c>
      <c r="U320" s="1" t="s">
        <v>74</v>
      </c>
      <c r="V320" s="1" t="s">
        <v>3445</v>
      </c>
      <c r="W320" s="1" t="s">
        <v>74</v>
      </c>
      <c r="X320" s="1" t="s">
        <v>74</v>
      </c>
      <c r="Y320" s="1" t="s">
        <v>74</v>
      </c>
      <c r="Z320" s="1" t="s">
        <v>74</v>
      </c>
      <c r="AA320" s="1" t="s">
        <v>3446</v>
      </c>
      <c r="AB320" s="1" t="s">
        <v>3447</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3448</v>
      </c>
      <c r="AP320" s="1" t="s">
        <v>74</v>
      </c>
      <c r="AQ320" s="1" t="s">
        <v>74</v>
      </c>
      <c r="AR320" s="1" t="s">
        <v>74</v>
      </c>
      <c r="AS320" s="1" t="s">
        <v>74</v>
      </c>
      <c r="AT320" s="1" t="s">
        <v>141</v>
      </c>
      <c r="AU320" s="1">
        <v>2011.0</v>
      </c>
      <c r="AV320" s="1">
        <v>49.0</v>
      </c>
      <c r="AW320" s="1">
        <v>9.0</v>
      </c>
      <c r="AX320" s="1" t="s">
        <v>74</v>
      </c>
      <c r="AY320" s="1" t="s">
        <v>74</v>
      </c>
      <c r="AZ320" s="1" t="s">
        <v>74</v>
      </c>
      <c r="BA320" s="1" t="s">
        <v>74</v>
      </c>
      <c r="BB320" s="1">
        <v>3198.0</v>
      </c>
      <c r="BC320" s="1">
        <v>3203.0</v>
      </c>
      <c r="BD320" s="1" t="s">
        <v>74</v>
      </c>
      <c r="BE320" s="1" t="s">
        <v>3449</v>
      </c>
      <c r="BF320" s="2" t="str">
        <f>HYPERLINK("http://dx.doi.org/10.1128/JCM.02473-10","http://dx.doi.org/10.1128/JCM.02473-10")</f>
        <v>http://dx.doi.org/10.1128/JCM.02473-10</v>
      </c>
      <c r="BG320" s="1" t="s">
        <v>74</v>
      </c>
      <c r="BH320" s="1" t="s">
        <v>74</v>
      </c>
      <c r="BI320" s="1" t="s">
        <v>74</v>
      </c>
      <c r="BJ320" s="1" t="s">
        <v>74</v>
      </c>
      <c r="BK320" s="1" t="s">
        <v>74</v>
      </c>
      <c r="BL320" s="1" t="s">
        <v>74</v>
      </c>
      <c r="BM320" s="1" t="s">
        <v>74</v>
      </c>
      <c r="BN320" s="1">
        <v>2.1775541E7</v>
      </c>
      <c r="BO320" s="1" t="s">
        <v>74</v>
      </c>
      <c r="BP320" s="1" t="s">
        <v>74</v>
      </c>
      <c r="BQ320" s="1" t="s">
        <v>74</v>
      </c>
      <c r="BR320" s="1" t="s">
        <v>74</v>
      </c>
      <c r="BS320" s="1" t="s">
        <v>3450</v>
      </c>
      <c r="BT320" s="1" t="str">
        <f>HYPERLINK("https%3A%2F%2Fwww.webofscience.com%2Fwos%2Fwoscc%2Ffull-record%2FWOS:000294416000015","View Full Record in Web of Science")</f>
        <v>View Full Record in Web of Science</v>
      </c>
    </row>
    <row r="321" ht="12.75" customHeight="1">
      <c r="A321" s="1" t="s">
        <v>72</v>
      </c>
      <c r="B321" s="1" t="s">
        <v>3451</v>
      </c>
      <c r="C321" s="1" t="s">
        <v>74</v>
      </c>
      <c r="D321" s="1" t="s">
        <v>74</v>
      </c>
      <c r="E321" s="1" t="s">
        <v>74</v>
      </c>
      <c r="F321" s="1" t="s">
        <v>3452</v>
      </c>
      <c r="G321" s="1" t="s">
        <v>74</v>
      </c>
      <c r="H321" s="1" t="s">
        <v>74</v>
      </c>
      <c r="I321" s="1" t="s">
        <v>3453</v>
      </c>
      <c r="J321" s="1" t="s">
        <v>3173</v>
      </c>
      <c r="K321" s="1" t="s">
        <v>74</v>
      </c>
      <c r="L321" s="1" t="s">
        <v>74</v>
      </c>
      <c r="M321" s="1" t="s">
        <v>74</v>
      </c>
      <c r="N321" s="1" t="s">
        <v>74</v>
      </c>
      <c r="O321" s="1" t="s">
        <v>74</v>
      </c>
      <c r="P321" s="1" t="s">
        <v>74</v>
      </c>
      <c r="Q321" s="1" t="s">
        <v>74</v>
      </c>
      <c r="R321" s="1" t="s">
        <v>74</v>
      </c>
      <c r="S321" s="1" t="s">
        <v>74</v>
      </c>
      <c r="T321" s="1" t="s">
        <v>74</v>
      </c>
      <c r="U321" s="1" t="s">
        <v>74</v>
      </c>
      <c r="V321" s="1" t="s">
        <v>3454</v>
      </c>
      <c r="W321" s="1" t="s">
        <v>74</v>
      </c>
      <c r="X321" s="1" t="s">
        <v>74</v>
      </c>
      <c r="Y321" s="1" t="s">
        <v>74</v>
      </c>
      <c r="Z321" s="1" t="s">
        <v>74</v>
      </c>
      <c r="AA321" s="1" t="s">
        <v>3455</v>
      </c>
      <c r="AB321" s="1" t="s">
        <v>3456</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3177</v>
      </c>
      <c r="AP321" s="1" t="s">
        <v>3178</v>
      </c>
      <c r="AQ321" s="1" t="s">
        <v>74</v>
      </c>
      <c r="AR321" s="1" t="s">
        <v>74</v>
      </c>
      <c r="AS321" s="1" t="s">
        <v>74</v>
      </c>
      <c r="AT321" s="1" t="s">
        <v>392</v>
      </c>
      <c r="AU321" s="1">
        <v>2009.0</v>
      </c>
      <c r="AV321" s="1">
        <v>9.0</v>
      </c>
      <c r="AW321" s="1">
        <v>4.0</v>
      </c>
      <c r="AX321" s="1" t="s">
        <v>74</v>
      </c>
      <c r="AY321" s="1" t="s">
        <v>74</v>
      </c>
      <c r="AZ321" s="1" t="s">
        <v>74</v>
      </c>
      <c r="BA321" s="1" t="s">
        <v>74</v>
      </c>
      <c r="BB321" s="1">
        <v>2201.0</v>
      </c>
      <c r="BC321" s="1">
        <v>2214.0</v>
      </c>
      <c r="BD321" s="1" t="s">
        <v>74</v>
      </c>
      <c r="BE321" s="1" t="s">
        <v>3457</v>
      </c>
      <c r="BF321" s="2" t="str">
        <f>HYPERLINK("http://dx.doi.org/10.1166/jnn.2009.SE15","http://dx.doi.org/10.1166/jnn.2009.SE15")</f>
        <v>http://dx.doi.org/10.1166/jnn.2009.SE15</v>
      </c>
      <c r="BG321" s="1" t="s">
        <v>74</v>
      </c>
      <c r="BH321" s="1" t="s">
        <v>74</v>
      </c>
      <c r="BI321" s="1" t="s">
        <v>74</v>
      </c>
      <c r="BJ321" s="1" t="s">
        <v>74</v>
      </c>
      <c r="BK321" s="1" t="s">
        <v>74</v>
      </c>
      <c r="BL321" s="1" t="s">
        <v>74</v>
      </c>
      <c r="BM321" s="1" t="s">
        <v>74</v>
      </c>
      <c r="BN321" s="1">
        <v>1.9437959E7</v>
      </c>
      <c r="BO321" s="1" t="s">
        <v>74</v>
      </c>
      <c r="BP321" s="1" t="s">
        <v>74</v>
      </c>
      <c r="BQ321" s="1" t="s">
        <v>74</v>
      </c>
      <c r="BR321" s="1" t="s">
        <v>74</v>
      </c>
      <c r="BS321" s="1" t="s">
        <v>3458</v>
      </c>
      <c r="BT321" s="1" t="str">
        <f>HYPERLINK("https%3A%2F%2Fwww.webofscience.com%2Fwos%2Fwoscc%2Ffull-record%2FWOS:000264489800004","View Full Record in Web of Science")</f>
        <v>View Full Record in Web of Science</v>
      </c>
    </row>
    <row r="322" ht="12.75" customHeight="1">
      <c r="A322" s="1" t="s">
        <v>72</v>
      </c>
      <c r="B322" s="1" t="s">
        <v>3459</v>
      </c>
      <c r="C322" s="1" t="s">
        <v>74</v>
      </c>
      <c r="D322" s="1" t="s">
        <v>74</v>
      </c>
      <c r="E322" s="1" t="s">
        <v>74</v>
      </c>
      <c r="F322" s="1" t="s">
        <v>3460</v>
      </c>
      <c r="G322" s="1" t="s">
        <v>74</v>
      </c>
      <c r="H322" s="1" t="s">
        <v>74</v>
      </c>
      <c r="I322" s="1" t="s">
        <v>3461</v>
      </c>
      <c r="J322" s="1" t="s">
        <v>3462</v>
      </c>
      <c r="K322" s="1" t="s">
        <v>74</v>
      </c>
      <c r="L322" s="1" t="s">
        <v>74</v>
      </c>
      <c r="M322" s="1" t="s">
        <v>74</v>
      </c>
      <c r="N322" s="1" t="s">
        <v>74</v>
      </c>
      <c r="O322" s="1" t="s">
        <v>74</v>
      </c>
      <c r="P322" s="1" t="s">
        <v>74</v>
      </c>
      <c r="Q322" s="1" t="s">
        <v>74</v>
      </c>
      <c r="R322" s="1" t="s">
        <v>74</v>
      </c>
      <c r="S322" s="1" t="s">
        <v>74</v>
      </c>
      <c r="T322" s="1" t="s">
        <v>74</v>
      </c>
      <c r="U322" s="1" t="s">
        <v>74</v>
      </c>
      <c r="V322" s="1" t="s">
        <v>3463</v>
      </c>
      <c r="W322" s="1" t="s">
        <v>74</v>
      </c>
      <c r="X322" s="1" t="s">
        <v>74</v>
      </c>
      <c r="Y322" s="1" t="s">
        <v>74</v>
      </c>
      <c r="Z322" s="1" t="s">
        <v>74</v>
      </c>
      <c r="AA322" s="1" t="s">
        <v>3464</v>
      </c>
      <c r="AB322" s="1" t="s">
        <v>3465</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3466</v>
      </c>
      <c r="AP322" s="1" t="s">
        <v>3467</v>
      </c>
      <c r="AQ322" s="1" t="s">
        <v>74</v>
      </c>
      <c r="AR322" s="1" t="s">
        <v>74</v>
      </c>
      <c r="AS322" s="1" t="s">
        <v>74</v>
      </c>
      <c r="AT322" s="1" t="s">
        <v>745</v>
      </c>
      <c r="AU322" s="1">
        <v>2023.0</v>
      </c>
      <c r="AV322" s="1">
        <v>73.0</v>
      </c>
      <c r="AW322" s="1">
        <v>1.0</v>
      </c>
      <c r="AX322" s="1" t="s">
        <v>74</v>
      </c>
      <c r="AY322" s="1" t="s">
        <v>1303</v>
      </c>
      <c r="AZ322" s="1" t="s">
        <v>74</v>
      </c>
      <c r="BA322" s="1" t="s">
        <v>74</v>
      </c>
      <c r="BB322" s="1" t="s">
        <v>3468</v>
      </c>
      <c r="BC322" s="1" t="s">
        <v>3469</v>
      </c>
      <c r="BD322" s="1" t="s">
        <v>74</v>
      </c>
      <c r="BE322" s="1" t="s">
        <v>3470</v>
      </c>
      <c r="BF322" s="2" t="str">
        <f>HYPERLINK("http://dx.doi.org/10.1016/j.jadohealth.2023.02.030","http://dx.doi.org/10.1016/j.jadohealth.2023.02.030")</f>
        <v>http://dx.doi.org/10.1016/j.jadohealth.2023.02.030</v>
      </c>
      <c r="BG322" s="1" t="s">
        <v>74</v>
      </c>
      <c r="BH322" s="1" t="s">
        <v>1507</v>
      </c>
      <c r="BI322" s="1" t="s">
        <v>74</v>
      </c>
      <c r="BJ322" s="1" t="s">
        <v>74</v>
      </c>
      <c r="BK322" s="1" t="s">
        <v>74</v>
      </c>
      <c r="BL322" s="1" t="s">
        <v>74</v>
      </c>
      <c r="BM322" s="1" t="s">
        <v>74</v>
      </c>
      <c r="BN322" s="1">
        <v>3.7330823E7</v>
      </c>
      <c r="BO322" s="1" t="s">
        <v>74</v>
      </c>
      <c r="BP322" s="1" t="s">
        <v>74</v>
      </c>
      <c r="BQ322" s="1" t="s">
        <v>74</v>
      </c>
      <c r="BR322" s="1" t="s">
        <v>74</v>
      </c>
      <c r="BS322" s="1" t="s">
        <v>3471</v>
      </c>
      <c r="BT322" s="1" t="str">
        <f>HYPERLINK("https%3A%2F%2Fwww.webofscience.com%2Fwos%2Fwoscc%2Ffull-record%2FWOS:001038798900009","View Full Record in Web of Science")</f>
        <v>View Full Record in Web of Science</v>
      </c>
    </row>
    <row r="323" ht="12.75" customHeight="1">
      <c r="A323" s="1" t="s">
        <v>72</v>
      </c>
      <c r="B323" s="1" t="s">
        <v>3472</v>
      </c>
      <c r="C323" s="1" t="s">
        <v>74</v>
      </c>
      <c r="D323" s="1" t="s">
        <v>74</v>
      </c>
      <c r="E323" s="1" t="s">
        <v>74</v>
      </c>
      <c r="F323" s="1" t="s">
        <v>3473</v>
      </c>
      <c r="G323" s="1" t="s">
        <v>74</v>
      </c>
      <c r="H323" s="1" t="s">
        <v>74</v>
      </c>
      <c r="I323" s="1" t="s">
        <v>3474</v>
      </c>
      <c r="J323" s="1" t="s">
        <v>3184</v>
      </c>
      <c r="K323" s="1" t="s">
        <v>74</v>
      </c>
      <c r="L323" s="1" t="s">
        <v>74</v>
      </c>
      <c r="M323" s="1" t="s">
        <v>74</v>
      </c>
      <c r="N323" s="1" t="s">
        <v>74</v>
      </c>
      <c r="O323" s="1" t="s">
        <v>74</v>
      </c>
      <c r="P323" s="1" t="s">
        <v>74</v>
      </c>
      <c r="Q323" s="1" t="s">
        <v>74</v>
      </c>
      <c r="R323" s="1" t="s">
        <v>74</v>
      </c>
      <c r="S323" s="1" t="s">
        <v>74</v>
      </c>
      <c r="T323" s="1" t="s">
        <v>74</v>
      </c>
      <c r="U323" s="1" t="s">
        <v>74</v>
      </c>
      <c r="V323" s="1" t="s">
        <v>3475</v>
      </c>
      <c r="W323" s="1" t="s">
        <v>74</v>
      </c>
      <c r="X323" s="1" t="s">
        <v>74</v>
      </c>
      <c r="Y323" s="1" t="s">
        <v>74</v>
      </c>
      <c r="Z323" s="1" t="s">
        <v>74</v>
      </c>
      <c r="AA323" s="1" t="s">
        <v>3476</v>
      </c>
      <c r="AB323" s="1" t="s">
        <v>3477</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3188</v>
      </c>
      <c r="AP323" s="1" t="s">
        <v>3189</v>
      </c>
      <c r="AQ323" s="1" t="s">
        <v>74</v>
      </c>
      <c r="AR323" s="1" t="s">
        <v>74</v>
      </c>
      <c r="AS323" s="1" t="s">
        <v>74</v>
      </c>
      <c r="AT323" s="1" t="s">
        <v>141</v>
      </c>
      <c r="AU323" s="1">
        <v>2019.0</v>
      </c>
      <c r="AV323" s="1">
        <v>55.0</v>
      </c>
      <c r="AW323" s="1">
        <v>9.0</v>
      </c>
      <c r="AX323" s="1" t="s">
        <v>74</v>
      </c>
      <c r="AY323" s="1" t="s">
        <v>74</v>
      </c>
      <c r="AZ323" s="1" t="s">
        <v>74</v>
      </c>
      <c r="BA323" s="1" t="s">
        <v>74</v>
      </c>
      <c r="BB323" s="1" t="s">
        <v>74</v>
      </c>
      <c r="BC323" s="1" t="s">
        <v>74</v>
      </c>
      <c r="BD323" s="1">
        <v>508.0</v>
      </c>
      <c r="BE323" s="1" t="s">
        <v>3478</v>
      </c>
      <c r="BF323" s="2" t="str">
        <f>HYPERLINK("http://dx.doi.org/10.3390/medicina55090508","http://dx.doi.org/10.3390/medicina55090508")</f>
        <v>http://dx.doi.org/10.3390/medicina55090508</v>
      </c>
      <c r="BG323" s="1" t="s">
        <v>74</v>
      </c>
      <c r="BH323" s="1" t="s">
        <v>74</v>
      </c>
      <c r="BI323" s="1" t="s">
        <v>74</v>
      </c>
      <c r="BJ323" s="1" t="s">
        <v>74</v>
      </c>
      <c r="BK323" s="1" t="s">
        <v>74</v>
      </c>
      <c r="BL323" s="1" t="s">
        <v>74</v>
      </c>
      <c r="BM323" s="1" t="s">
        <v>74</v>
      </c>
      <c r="BN323" s="1">
        <v>3.1438456E7</v>
      </c>
      <c r="BO323" s="1" t="s">
        <v>74</v>
      </c>
      <c r="BP323" s="1" t="s">
        <v>74</v>
      </c>
      <c r="BQ323" s="1" t="s">
        <v>74</v>
      </c>
      <c r="BR323" s="1" t="s">
        <v>74</v>
      </c>
      <c r="BS323" s="1" t="s">
        <v>3479</v>
      </c>
      <c r="BT323" s="1" t="str">
        <f>HYPERLINK("https%3A%2F%2Fwww.webofscience.com%2Fwos%2Fwoscc%2Ffull-record%2FWOS:000490752800001","View Full Record in Web of Science")</f>
        <v>View Full Record in Web of Science</v>
      </c>
    </row>
    <row r="324" ht="12.75" customHeight="1">
      <c r="A324" s="1" t="s">
        <v>72</v>
      </c>
      <c r="B324" s="1" t="s">
        <v>3480</v>
      </c>
      <c r="C324" s="1" t="s">
        <v>74</v>
      </c>
      <c r="D324" s="1" t="s">
        <v>74</v>
      </c>
      <c r="E324" s="1" t="s">
        <v>74</v>
      </c>
      <c r="F324" s="1" t="s">
        <v>3481</v>
      </c>
      <c r="G324" s="1" t="s">
        <v>74</v>
      </c>
      <c r="H324" s="1" t="s">
        <v>74</v>
      </c>
      <c r="I324" s="1" t="s">
        <v>3482</v>
      </c>
      <c r="J324" s="1" t="s">
        <v>3483</v>
      </c>
      <c r="K324" s="1" t="s">
        <v>74</v>
      </c>
      <c r="L324" s="1" t="s">
        <v>74</v>
      </c>
      <c r="M324" s="1" t="s">
        <v>74</v>
      </c>
      <c r="N324" s="1" t="s">
        <v>74</v>
      </c>
      <c r="O324" s="1" t="s">
        <v>74</v>
      </c>
      <c r="P324" s="1" t="s">
        <v>74</v>
      </c>
      <c r="Q324" s="1" t="s">
        <v>74</v>
      </c>
      <c r="R324" s="1" t="s">
        <v>74</v>
      </c>
      <c r="S324" s="1" t="s">
        <v>74</v>
      </c>
      <c r="T324" s="1" t="s">
        <v>74</v>
      </c>
      <c r="U324" s="1" t="s">
        <v>74</v>
      </c>
      <c r="V324" s="1" t="s">
        <v>3484</v>
      </c>
      <c r="W324" s="1" t="s">
        <v>74</v>
      </c>
      <c r="X324" s="1" t="s">
        <v>74</v>
      </c>
      <c r="Y324" s="1" t="s">
        <v>74</v>
      </c>
      <c r="Z324" s="1" t="s">
        <v>74</v>
      </c>
      <c r="AA324" s="1" t="s">
        <v>3485</v>
      </c>
      <c r="AB324" s="1" t="s">
        <v>3486</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3487</v>
      </c>
      <c r="AP324" s="1" t="s">
        <v>74</v>
      </c>
      <c r="AQ324" s="1" t="s">
        <v>74</v>
      </c>
      <c r="AR324" s="1" t="s">
        <v>74</v>
      </c>
      <c r="AS324" s="1" t="s">
        <v>74</v>
      </c>
      <c r="AT324" s="1" t="s">
        <v>152</v>
      </c>
      <c r="AU324" s="1">
        <v>2019.0</v>
      </c>
      <c r="AV324" s="1">
        <v>358.0</v>
      </c>
      <c r="AW324" s="1" t="s">
        <v>74</v>
      </c>
      <c r="AX324" s="1" t="s">
        <v>74</v>
      </c>
      <c r="AY324" s="1" t="s">
        <v>74</v>
      </c>
      <c r="AZ324" s="1" t="s">
        <v>74</v>
      </c>
      <c r="BA324" s="1" t="s">
        <v>74</v>
      </c>
      <c r="BB324" s="1">
        <v>435.0</v>
      </c>
      <c r="BC324" s="1">
        <v>442.0</v>
      </c>
      <c r="BD324" s="1" t="s">
        <v>74</v>
      </c>
      <c r="BE324" s="1" t="s">
        <v>3488</v>
      </c>
      <c r="BF324" s="2" t="str">
        <f>HYPERLINK("http://dx.doi.org/10.1016/j.surfcoat.2018.11.051","http://dx.doi.org/10.1016/j.surfcoat.2018.11.051")</f>
        <v>http://dx.doi.org/10.1016/j.surfcoat.2018.11.051</v>
      </c>
      <c r="BG324" s="1" t="s">
        <v>74</v>
      </c>
      <c r="BH324" s="1" t="s">
        <v>74</v>
      </c>
      <c r="BI324" s="1" t="s">
        <v>74</v>
      </c>
      <c r="BJ324" s="1" t="s">
        <v>74</v>
      </c>
      <c r="BK324" s="1" t="s">
        <v>74</v>
      </c>
      <c r="BL324" s="1" t="s">
        <v>74</v>
      </c>
      <c r="BM324" s="1" t="s">
        <v>74</v>
      </c>
      <c r="BN324" s="1" t="s">
        <v>74</v>
      </c>
      <c r="BO324" s="1" t="s">
        <v>74</v>
      </c>
      <c r="BP324" s="1" t="s">
        <v>74</v>
      </c>
      <c r="BQ324" s="1" t="s">
        <v>74</v>
      </c>
      <c r="BR324" s="1" t="s">
        <v>74</v>
      </c>
      <c r="BS324" s="1" t="s">
        <v>3489</v>
      </c>
      <c r="BT324" s="1" t="str">
        <f>HYPERLINK("https%3A%2F%2Fwww.webofscience.com%2Fwos%2Fwoscc%2Ffull-record%2FWOS:000456762300052","View Full Record in Web of Science")</f>
        <v>View Full Record in Web of Science</v>
      </c>
    </row>
    <row r="325" ht="12.75" customHeight="1">
      <c r="A325" s="1" t="s">
        <v>72</v>
      </c>
      <c r="B325" s="1" t="s">
        <v>3490</v>
      </c>
      <c r="C325" s="1" t="s">
        <v>74</v>
      </c>
      <c r="D325" s="1" t="s">
        <v>74</v>
      </c>
      <c r="E325" s="1" t="s">
        <v>74</v>
      </c>
      <c r="F325" s="1" t="s">
        <v>3491</v>
      </c>
      <c r="G325" s="1" t="s">
        <v>74</v>
      </c>
      <c r="H325" s="1" t="s">
        <v>74</v>
      </c>
      <c r="I325" s="1" t="s">
        <v>3492</v>
      </c>
      <c r="J325" s="1" t="s">
        <v>3493</v>
      </c>
      <c r="K325" s="1" t="s">
        <v>74</v>
      </c>
      <c r="L325" s="1" t="s">
        <v>74</v>
      </c>
      <c r="M325" s="1" t="s">
        <v>74</v>
      </c>
      <c r="N325" s="1" t="s">
        <v>74</v>
      </c>
      <c r="O325" s="1" t="s">
        <v>74</v>
      </c>
      <c r="P325" s="1" t="s">
        <v>74</v>
      </c>
      <c r="Q325" s="1" t="s">
        <v>74</v>
      </c>
      <c r="R325" s="1" t="s">
        <v>74</v>
      </c>
      <c r="S325" s="1" t="s">
        <v>74</v>
      </c>
      <c r="T325" s="1" t="s">
        <v>74</v>
      </c>
      <c r="U325" s="1" t="s">
        <v>74</v>
      </c>
      <c r="V325" s="1" t="s">
        <v>3494</v>
      </c>
      <c r="W325" s="1" t="s">
        <v>74</v>
      </c>
      <c r="X325" s="1" t="s">
        <v>74</v>
      </c>
      <c r="Y325" s="1" t="s">
        <v>74</v>
      </c>
      <c r="Z325" s="1" t="s">
        <v>74</v>
      </c>
      <c r="AA325" s="1" t="s">
        <v>3495</v>
      </c>
      <c r="AB325" s="1" t="s">
        <v>3496</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3497</v>
      </c>
      <c r="AP325" s="1" t="s">
        <v>3498</v>
      </c>
      <c r="AQ325" s="1" t="s">
        <v>74</v>
      </c>
      <c r="AR325" s="1" t="s">
        <v>74</v>
      </c>
      <c r="AS325" s="1" t="s">
        <v>74</v>
      </c>
      <c r="AT325" s="1" t="s">
        <v>3499</v>
      </c>
      <c r="AU325" s="1">
        <v>2010.0</v>
      </c>
      <c r="AV325" s="1">
        <v>30.0</v>
      </c>
      <c r="AW325" s="1">
        <v>43.0</v>
      </c>
      <c r="AX325" s="1" t="s">
        <v>74</v>
      </c>
      <c r="AY325" s="1" t="s">
        <v>74</v>
      </c>
      <c r="AZ325" s="1" t="s">
        <v>74</v>
      </c>
      <c r="BA325" s="1" t="s">
        <v>74</v>
      </c>
      <c r="BB325" s="1">
        <v>14420.0</v>
      </c>
      <c r="BC325" s="1">
        <v>14429.0</v>
      </c>
      <c r="BD325" s="1" t="s">
        <v>74</v>
      </c>
      <c r="BE325" s="1" t="s">
        <v>3500</v>
      </c>
      <c r="BF325" s="2" t="str">
        <f>HYPERLINK("http://dx.doi.org/10.1523/JNEUROSCI.3025-10.2010","http://dx.doi.org/10.1523/JNEUROSCI.3025-10.2010")</f>
        <v>http://dx.doi.org/10.1523/JNEUROSCI.3025-10.2010</v>
      </c>
      <c r="BG325" s="1" t="s">
        <v>74</v>
      </c>
      <c r="BH325" s="1" t="s">
        <v>74</v>
      </c>
      <c r="BI325" s="1" t="s">
        <v>74</v>
      </c>
      <c r="BJ325" s="1" t="s">
        <v>74</v>
      </c>
      <c r="BK325" s="1" t="s">
        <v>74</v>
      </c>
      <c r="BL325" s="1" t="s">
        <v>74</v>
      </c>
      <c r="BM325" s="1" t="s">
        <v>74</v>
      </c>
      <c r="BN325" s="1">
        <v>2.0980599E7</v>
      </c>
      <c r="BO325" s="1" t="s">
        <v>74</v>
      </c>
      <c r="BP325" s="1" t="s">
        <v>74</v>
      </c>
      <c r="BQ325" s="1" t="s">
        <v>74</v>
      </c>
      <c r="BR325" s="1" t="s">
        <v>74</v>
      </c>
      <c r="BS325" s="1" t="s">
        <v>3501</v>
      </c>
      <c r="BT325" s="1" t="str">
        <f>HYPERLINK("https%3A%2F%2Fwww.webofscience.com%2Fwos%2Fwoscc%2Ffull-record%2FWOS:000283790800018","View Full Record in Web of Science")</f>
        <v>View Full Record in Web of Science</v>
      </c>
    </row>
    <row r="326" ht="12.75" customHeight="1">
      <c r="A326" s="1" t="s">
        <v>72</v>
      </c>
      <c r="B326" s="1" t="s">
        <v>3502</v>
      </c>
      <c r="C326" s="1" t="s">
        <v>74</v>
      </c>
      <c r="D326" s="1" t="s">
        <v>74</v>
      </c>
      <c r="E326" s="1" t="s">
        <v>74</v>
      </c>
      <c r="F326" s="1" t="s">
        <v>3502</v>
      </c>
      <c r="G326" s="1" t="s">
        <v>74</v>
      </c>
      <c r="H326" s="1" t="s">
        <v>74</v>
      </c>
      <c r="I326" s="1" t="s">
        <v>3503</v>
      </c>
      <c r="J326" s="1" t="s">
        <v>3091</v>
      </c>
      <c r="K326" s="1" t="s">
        <v>74</v>
      </c>
      <c r="L326" s="1" t="s">
        <v>74</v>
      </c>
      <c r="M326" s="1" t="s">
        <v>74</v>
      </c>
      <c r="N326" s="1" t="s">
        <v>74</v>
      </c>
      <c r="O326" s="1" t="s">
        <v>74</v>
      </c>
      <c r="P326" s="1" t="s">
        <v>74</v>
      </c>
      <c r="Q326" s="1" t="s">
        <v>74</v>
      </c>
      <c r="R326" s="1" t="s">
        <v>74</v>
      </c>
      <c r="S326" s="1" t="s">
        <v>74</v>
      </c>
      <c r="T326" s="1" t="s">
        <v>74</v>
      </c>
      <c r="U326" s="1" t="s">
        <v>74</v>
      </c>
      <c r="V326" s="1" t="s">
        <v>3504</v>
      </c>
      <c r="W326" s="1" t="s">
        <v>74</v>
      </c>
      <c r="X326" s="1" t="s">
        <v>74</v>
      </c>
      <c r="Y326" s="1" t="s">
        <v>74</v>
      </c>
      <c r="Z326" s="1" t="s">
        <v>74</v>
      </c>
      <c r="AA326" s="1" t="s">
        <v>3093</v>
      </c>
      <c r="AB326" s="1" t="s">
        <v>3094</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3095</v>
      </c>
      <c r="AP326" s="1" t="s">
        <v>74</v>
      </c>
      <c r="AQ326" s="1" t="s">
        <v>74</v>
      </c>
      <c r="AR326" s="1" t="s">
        <v>74</v>
      </c>
      <c r="AS326" s="1" t="s">
        <v>74</v>
      </c>
      <c r="AT326" s="1" t="s">
        <v>745</v>
      </c>
      <c r="AU326" s="1">
        <v>2000.0</v>
      </c>
      <c r="AV326" s="1">
        <v>56.0</v>
      </c>
      <c r="AW326" s="1" t="s">
        <v>74</v>
      </c>
      <c r="AX326" s="1">
        <v>7.0</v>
      </c>
      <c r="AY326" s="1" t="s">
        <v>74</v>
      </c>
      <c r="AZ326" s="1" t="s">
        <v>74</v>
      </c>
      <c r="BA326" s="1" t="s">
        <v>74</v>
      </c>
      <c r="BB326" s="1" t="s">
        <v>3505</v>
      </c>
      <c r="BC326" s="1" t="s">
        <v>3506</v>
      </c>
      <c r="BD326" s="1" t="s">
        <v>74</v>
      </c>
      <c r="BE326" s="1" t="s">
        <v>3507</v>
      </c>
      <c r="BF326" s="2" t="str">
        <f>HYPERLINK("http://dx.doi.org/10.1107/S0108270100007654","http://dx.doi.org/10.1107/S0108270100007654")</f>
        <v>http://dx.doi.org/10.1107/S0108270100007654</v>
      </c>
      <c r="BG326" s="1" t="s">
        <v>74</v>
      </c>
      <c r="BH326" s="1" t="s">
        <v>74</v>
      </c>
      <c r="BI326" s="1" t="s">
        <v>74</v>
      </c>
      <c r="BJ326" s="1" t="s">
        <v>74</v>
      </c>
      <c r="BK326" s="1" t="s">
        <v>74</v>
      </c>
      <c r="BL326" s="1" t="s">
        <v>74</v>
      </c>
      <c r="BM326" s="1" t="s">
        <v>74</v>
      </c>
      <c r="BN326" s="1" t="s">
        <v>74</v>
      </c>
      <c r="BO326" s="1" t="s">
        <v>74</v>
      </c>
      <c r="BP326" s="1" t="s">
        <v>74</v>
      </c>
      <c r="BQ326" s="1" t="s">
        <v>74</v>
      </c>
      <c r="BR326" s="1" t="s">
        <v>74</v>
      </c>
      <c r="BS326" s="1" t="s">
        <v>3508</v>
      </c>
      <c r="BT326" s="1" t="str">
        <f>HYPERLINK("https%3A%2F%2Fwww.webofscience.com%2Fwos%2Fwoscc%2Ffull-record%2FWOS:000088144900071","View Full Record in Web of Science")</f>
        <v>View Full Record in Web of Science</v>
      </c>
    </row>
    <row r="327" ht="12.75" customHeight="1">
      <c r="A327" s="1" t="s">
        <v>72</v>
      </c>
      <c r="B327" s="1" t="s">
        <v>3509</v>
      </c>
      <c r="C327" s="1" t="s">
        <v>74</v>
      </c>
      <c r="D327" s="1" t="s">
        <v>74</v>
      </c>
      <c r="E327" s="1" t="s">
        <v>74</v>
      </c>
      <c r="F327" s="1" t="s">
        <v>3510</v>
      </c>
      <c r="G327" s="1" t="s">
        <v>74</v>
      </c>
      <c r="H327" s="1" t="s">
        <v>74</v>
      </c>
      <c r="I327" s="1" t="s">
        <v>3511</v>
      </c>
      <c r="J327" s="1" t="s">
        <v>3512</v>
      </c>
      <c r="K327" s="1" t="s">
        <v>74</v>
      </c>
      <c r="L327" s="1" t="s">
        <v>74</v>
      </c>
      <c r="M327" s="1" t="s">
        <v>74</v>
      </c>
      <c r="N327" s="1" t="s">
        <v>74</v>
      </c>
      <c r="O327" s="1" t="s">
        <v>74</v>
      </c>
      <c r="P327" s="1" t="s">
        <v>74</v>
      </c>
      <c r="Q327" s="1" t="s">
        <v>74</v>
      </c>
      <c r="R327" s="1" t="s">
        <v>74</v>
      </c>
      <c r="S327" s="1" t="s">
        <v>74</v>
      </c>
      <c r="T327" s="1" t="s">
        <v>74</v>
      </c>
      <c r="U327" s="1" t="s">
        <v>74</v>
      </c>
      <c r="V327" s="1" t="s">
        <v>3513</v>
      </c>
      <c r="W327" s="1" t="s">
        <v>74</v>
      </c>
      <c r="X327" s="1" t="s">
        <v>74</v>
      </c>
      <c r="Y327" s="1" t="s">
        <v>74</v>
      </c>
      <c r="Z327" s="1" t="s">
        <v>74</v>
      </c>
      <c r="AA327" s="1" t="s">
        <v>3514</v>
      </c>
      <c r="AB327" s="1" t="s">
        <v>3515</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74</v>
      </c>
      <c r="AP327" s="1" t="s">
        <v>3516</v>
      </c>
      <c r="AQ327" s="1" t="s">
        <v>74</v>
      </c>
      <c r="AR327" s="1" t="s">
        <v>74</v>
      </c>
      <c r="AS327" s="1" t="s">
        <v>74</v>
      </c>
      <c r="AT327" s="1" t="s">
        <v>264</v>
      </c>
      <c r="AU327" s="1">
        <v>2025.0</v>
      </c>
      <c r="AV327" s="1">
        <v>12.0</v>
      </c>
      <c r="AW327" s="1">
        <v>1.0</v>
      </c>
      <c r="AX327" s="1" t="s">
        <v>74</v>
      </c>
      <c r="AY327" s="1" t="s">
        <v>74</v>
      </c>
      <c r="AZ327" s="1" t="s">
        <v>74</v>
      </c>
      <c r="BA327" s="1" t="s">
        <v>74</v>
      </c>
      <c r="BB327" s="1" t="s">
        <v>74</v>
      </c>
      <c r="BC327" s="1" t="s">
        <v>74</v>
      </c>
      <c r="BD327" s="1">
        <v>29.0</v>
      </c>
      <c r="BE327" s="1" t="s">
        <v>3517</v>
      </c>
      <c r="BF327" s="2" t="str">
        <f>HYPERLINK("http://dx.doi.org/10.3390/children12010029","http://dx.doi.org/10.3390/children12010029")</f>
        <v>http://dx.doi.org/10.3390/children12010029</v>
      </c>
      <c r="BG327" s="1" t="s">
        <v>74</v>
      </c>
      <c r="BH327" s="1" t="s">
        <v>74</v>
      </c>
      <c r="BI327" s="1" t="s">
        <v>74</v>
      </c>
      <c r="BJ327" s="1" t="s">
        <v>74</v>
      </c>
      <c r="BK327" s="1" t="s">
        <v>74</v>
      </c>
      <c r="BL327" s="1" t="s">
        <v>74</v>
      </c>
      <c r="BM327" s="1" t="s">
        <v>74</v>
      </c>
      <c r="BN327" s="1">
        <v>3.985786E7</v>
      </c>
      <c r="BO327" s="1" t="s">
        <v>74</v>
      </c>
      <c r="BP327" s="1" t="s">
        <v>74</v>
      </c>
      <c r="BQ327" s="1" t="s">
        <v>74</v>
      </c>
      <c r="BR327" s="1" t="s">
        <v>74</v>
      </c>
      <c r="BS327" s="1" t="s">
        <v>3518</v>
      </c>
      <c r="BT327" s="1" t="str">
        <f>HYPERLINK("https%3A%2F%2Fwww.webofscience.com%2Fwos%2Fwoscc%2Ffull-record%2FWOS:001405685600001","View Full Record in Web of Science")</f>
        <v>View Full Record in Web of Science</v>
      </c>
    </row>
    <row r="328" ht="12.75" customHeight="1">
      <c r="A328" s="1" t="s">
        <v>72</v>
      </c>
      <c r="B328" s="1" t="s">
        <v>3519</v>
      </c>
      <c r="C328" s="1" t="s">
        <v>74</v>
      </c>
      <c r="D328" s="1" t="s">
        <v>74</v>
      </c>
      <c r="E328" s="1" t="s">
        <v>74</v>
      </c>
      <c r="F328" s="1" t="s">
        <v>3520</v>
      </c>
      <c r="G328" s="1" t="s">
        <v>74</v>
      </c>
      <c r="H328" s="1" t="s">
        <v>74</v>
      </c>
      <c r="I328" s="1" t="s">
        <v>3521</v>
      </c>
      <c r="J328" s="1" t="s">
        <v>3522</v>
      </c>
      <c r="K328" s="1" t="s">
        <v>74</v>
      </c>
      <c r="L328" s="1" t="s">
        <v>74</v>
      </c>
      <c r="M328" s="1" t="s">
        <v>74</v>
      </c>
      <c r="N328" s="1" t="s">
        <v>74</v>
      </c>
      <c r="O328" s="1" t="s">
        <v>74</v>
      </c>
      <c r="P328" s="1" t="s">
        <v>74</v>
      </c>
      <c r="Q328" s="1" t="s">
        <v>74</v>
      </c>
      <c r="R328" s="1" t="s">
        <v>74</v>
      </c>
      <c r="S328" s="1" t="s">
        <v>74</v>
      </c>
      <c r="T328" s="1" t="s">
        <v>74</v>
      </c>
      <c r="U328" s="1" t="s">
        <v>74</v>
      </c>
      <c r="V328" s="1" t="s">
        <v>3523</v>
      </c>
      <c r="W328" s="1" t="s">
        <v>74</v>
      </c>
      <c r="X328" s="1" t="s">
        <v>74</v>
      </c>
      <c r="Y328" s="1" t="s">
        <v>74</v>
      </c>
      <c r="Z328" s="1" t="s">
        <v>74</v>
      </c>
      <c r="AA328" s="1" t="s">
        <v>3524</v>
      </c>
      <c r="AB328" s="1" t="s">
        <v>3525</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3526</v>
      </c>
      <c r="AP328" s="1" t="s">
        <v>3527</v>
      </c>
      <c r="AQ328" s="1" t="s">
        <v>74</v>
      </c>
      <c r="AR328" s="1" t="s">
        <v>74</v>
      </c>
      <c r="AS328" s="1" t="s">
        <v>74</v>
      </c>
      <c r="AT328" s="1" t="s">
        <v>202</v>
      </c>
      <c r="AU328" s="1">
        <v>2024.0</v>
      </c>
      <c r="AV328" s="1">
        <v>12.0</v>
      </c>
      <c r="AW328" s="1">
        <v>3.0</v>
      </c>
      <c r="AX328" s="1" t="s">
        <v>74</v>
      </c>
      <c r="AY328" s="1" t="s">
        <v>74</v>
      </c>
      <c r="AZ328" s="1" t="s">
        <v>74</v>
      </c>
      <c r="BA328" s="1" t="s">
        <v>74</v>
      </c>
      <c r="BB328" s="1" t="s">
        <v>74</v>
      </c>
      <c r="BC328" s="1" t="s">
        <v>74</v>
      </c>
      <c r="BD328" s="1">
        <v>112588.0</v>
      </c>
      <c r="BE328" s="1" t="s">
        <v>3528</v>
      </c>
      <c r="BF328" s="2" t="str">
        <f>HYPERLINK("http://dx.doi.org/10.1016/j.jece.2024.112588","http://dx.doi.org/10.1016/j.jece.2024.112588")</f>
        <v>http://dx.doi.org/10.1016/j.jece.2024.112588</v>
      </c>
      <c r="BG328" s="1" t="s">
        <v>74</v>
      </c>
      <c r="BH328" s="1" t="s">
        <v>371</v>
      </c>
      <c r="BI328" s="1" t="s">
        <v>74</v>
      </c>
      <c r="BJ328" s="1" t="s">
        <v>74</v>
      </c>
      <c r="BK328" s="1" t="s">
        <v>74</v>
      </c>
      <c r="BL328" s="1" t="s">
        <v>74</v>
      </c>
      <c r="BM328" s="1" t="s">
        <v>74</v>
      </c>
      <c r="BN328" s="1" t="s">
        <v>74</v>
      </c>
      <c r="BO328" s="1" t="s">
        <v>74</v>
      </c>
      <c r="BP328" s="1" t="s">
        <v>74</v>
      </c>
      <c r="BQ328" s="1" t="s">
        <v>74</v>
      </c>
      <c r="BR328" s="1" t="s">
        <v>74</v>
      </c>
      <c r="BS328" s="1" t="s">
        <v>3529</v>
      </c>
      <c r="BT328" s="1" t="str">
        <f>HYPERLINK("https%3A%2F%2Fwww.webofscience.com%2Fwos%2Fwoscc%2Ffull-record%2FWOS:001226222400001","View Full Record in Web of Science")</f>
        <v>View Full Record in Web of Science</v>
      </c>
    </row>
    <row r="329" ht="12.75" customHeight="1">
      <c r="A329" s="1" t="s">
        <v>72</v>
      </c>
      <c r="B329" s="1" t="s">
        <v>3530</v>
      </c>
      <c r="C329" s="1" t="s">
        <v>74</v>
      </c>
      <c r="D329" s="1" t="s">
        <v>74</v>
      </c>
      <c r="E329" s="1" t="s">
        <v>74</v>
      </c>
      <c r="F329" s="1" t="s">
        <v>3531</v>
      </c>
      <c r="G329" s="1" t="s">
        <v>74</v>
      </c>
      <c r="H329" s="1" t="s">
        <v>74</v>
      </c>
      <c r="I329" s="1" t="s">
        <v>3532</v>
      </c>
      <c r="J329" s="1" t="s">
        <v>3533</v>
      </c>
      <c r="K329" s="1" t="s">
        <v>74</v>
      </c>
      <c r="L329" s="1" t="s">
        <v>74</v>
      </c>
      <c r="M329" s="1" t="s">
        <v>74</v>
      </c>
      <c r="N329" s="1" t="s">
        <v>74</v>
      </c>
      <c r="O329" s="1" t="s">
        <v>74</v>
      </c>
      <c r="P329" s="1" t="s">
        <v>74</v>
      </c>
      <c r="Q329" s="1" t="s">
        <v>74</v>
      </c>
      <c r="R329" s="1" t="s">
        <v>74</v>
      </c>
      <c r="S329" s="1" t="s">
        <v>74</v>
      </c>
      <c r="T329" s="1" t="s">
        <v>74</v>
      </c>
      <c r="U329" s="1" t="s">
        <v>74</v>
      </c>
      <c r="V329" s="1" t="s">
        <v>3534</v>
      </c>
      <c r="W329" s="1" t="s">
        <v>74</v>
      </c>
      <c r="X329" s="1" t="s">
        <v>74</v>
      </c>
      <c r="Y329" s="1" t="s">
        <v>74</v>
      </c>
      <c r="Z329" s="1" t="s">
        <v>74</v>
      </c>
      <c r="AA329" s="1" t="s">
        <v>3535</v>
      </c>
      <c r="AB329" s="1" t="s">
        <v>3536</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3537</v>
      </c>
      <c r="AP329" s="1" t="s">
        <v>3538</v>
      </c>
      <c r="AQ329" s="1" t="s">
        <v>74</v>
      </c>
      <c r="AR329" s="1" t="s">
        <v>74</v>
      </c>
      <c r="AS329" s="1" t="s">
        <v>74</v>
      </c>
      <c r="AT329" s="1" t="s">
        <v>447</v>
      </c>
      <c r="AU329" s="1">
        <v>2023.0</v>
      </c>
      <c r="AV329" s="1">
        <v>196.0</v>
      </c>
      <c r="AW329" s="1" t="s">
        <v>74</v>
      </c>
      <c r="AX329" s="1" t="s">
        <v>74</v>
      </c>
      <c r="AY329" s="1" t="s">
        <v>74</v>
      </c>
      <c r="AZ329" s="1" t="s">
        <v>74</v>
      </c>
      <c r="BA329" s="1" t="s">
        <v>74</v>
      </c>
      <c r="BB329" s="1">
        <v>685.0</v>
      </c>
      <c r="BC329" s="1">
        <v>700.0</v>
      </c>
      <c r="BD329" s="1" t="s">
        <v>74</v>
      </c>
      <c r="BE329" s="1" t="s">
        <v>3539</v>
      </c>
      <c r="BF329" s="2" t="str">
        <f>HYPERLINK("http://dx.doi.org/10.1016/j.cherd.2023.06.032","http://dx.doi.org/10.1016/j.cherd.2023.06.032")</f>
        <v>http://dx.doi.org/10.1016/j.cherd.2023.06.032</v>
      </c>
      <c r="BG329" s="1" t="s">
        <v>74</v>
      </c>
      <c r="BH329" s="1" t="s">
        <v>3540</v>
      </c>
      <c r="BI329" s="1" t="s">
        <v>74</v>
      </c>
      <c r="BJ329" s="1" t="s">
        <v>74</v>
      </c>
      <c r="BK329" s="1" t="s">
        <v>74</v>
      </c>
      <c r="BL329" s="1" t="s">
        <v>74</v>
      </c>
      <c r="BM329" s="1" t="s">
        <v>74</v>
      </c>
      <c r="BN329" s="1" t="s">
        <v>74</v>
      </c>
      <c r="BO329" s="1" t="s">
        <v>74</v>
      </c>
      <c r="BP329" s="1" t="s">
        <v>74</v>
      </c>
      <c r="BQ329" s="1" t="s">
        <v>74</v>
      </c>
      <c r="BR329" s="1" t="s">
        <v>74</v>
      </c>
      <c r="BS329" s="1" t="s">
        <v>3541</v>
      </c>
      <c r="BT329" s="1" t="str">
        <f>HYPERLINK("https%3A%2F%2Fwww.webofscience.com%2Fwos%2Fwoscc%2Ffull-record%2FWOS:001047503200001","View Full Record in Web of Science")</f>
        <v>View Full Record in Web of Science</v>
      </c>
    </row>
    <row r="330" ht="12.75" customHeight="1">
      <c r="A330" s="1" t="s">
        <v>72</v>
      </c>
      <c r="B330" s="1" t="s">
        <v>3542</v>
      </c>
      <c r="C330" s="1" t="s">
        <v>74</v>
      </c>
      <c r="D330" s="1" t="s">
        <v>74</v>
      </c>
      <c r="E330" s="1" t="s">
        <v>74</v>
      </c>
      <c r="F330" s="1" t="s">
        <v>3543</v>
      </c>
      <c r="G330" s="1" t="s">
        <v>74</v>
      </c>
      <c r="H330" s="1" t="s">
        <v>74</v>
      </c>
      <c r="I330" s="1" t="s">
        <v>3544</v>
      </c>
      <c r="J330" s="1" t="s">
        <v>3545</v>
      </c>
      <c r="K330" s="1" t="s">
        <v>74</v>
      </c>
      <c r="L330" s="1" t="s">
        <v>74</v>
      </c>
      <c r="M330" s="1" t="s">
        <v>74</v>
      </c>
      <c r="N330" s="1" t="s">
        <v>74</v>
      </c>
      <c r="O330" s="1" t="s">
        <v>74</v>
      </c>
      <c r="P330" s="1" t="s">
        <v>74</v>
      </c>
      <c r="Q330" s="1" t="s">
        <v>74</v>
      </c>
      <c r="R330" s="1" t="s">
        <v>74</v>
      </c>
      <c r="S330" s="1" t="s">
        <v>74</v>
      </c>
      <c r="T330" s="1" t="s">
        <v>74</v>
      </c>
      <c r="U330" s="1" t="s">
        <v>74</v>
      </c>
      <c r="V330" s="1" t="s">
        <v>74</v>
      </c>
      <c r="W330" s="1" t="s">
        <v>74</v>
      </c>
      <c r="X330" s="1" t="s">
        <v>74</v>
      </c>
      <c r="Y330" s="1" t="s">
        <v>74</v>
      </c>
      <c r="Z330" s="1" t="s">
        <v>74</v>
      </c>
      <c r="AA330" s="1" t="s">
        <v>3546</v>
      </c>
      <c r="AB330" s="1" t="s">
        <v>3547</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3548</v>
      </c>
      <c r="AP330" s="1" t="s">
        <v>3549</v>
      </c>
      <c r="AQ330" s="1" t="s">
        <v>74</v>
      </c>
      <c r="AR330" s="1" t="s">
        <v>74</v>
      </c>
      <c r="AS330" s="1" t="s">
        <v>74</v>
      </c>
      <c r="AT330" s="1" t="s">
        <v>94</v>
      </c>
      <c r="AU330" s="1">
        <v>2022.0</v>
      </c>
      <c r="AV330" s="1">
        <v>131.0</v>
      </c>
      <c r="AW330" s="1" t="s">
        <v>74</v>
      </c>
      <c r="AX330" s="1" t="s">
        <v>74</v>
      </c>
      <c r="AY330" s="1" t="s">
        <v>74</v>
      </c>
      <c r="AZ330" s="1" t="s">
        <v>74</v>
      </c>
      <c r="BA330" s="1" t="s">
        <v>3550</v>
      </c>
      <c r="BB330" s="1">
        <v>1331.0</v>
      </c>
      <c r="BC330" s="1">
        <v>1331.0</v>
      </c>
      <c r="BD330" s="1" t="s">
        <v>74</v>
      </c>
      <c r="BE330" s="1" t="s">
        <v>74</v>
      </c>
      <c r="BF330" s="1" t="s">
        <v>74</v>
      </c>
      <c r="BG330" s="1" t="s">
        <v>74</v>
      </c>
      <c r="BH330" s="1" t="s">
        <v>74</v>
      </c>
      <c r="BI330" s="1" t="s">
        <v>74</v>
      </c>
      <c r="BJ330" s="1" t="s">
        <v>74</v>
      </c>
      <c r="BK330" s="1" t="s">
        <v>74</v>
      </c>
      <c r="BL330" s="1" t="s">
        <v>74</v>
      </c>
      <c r="BM330" s="1" t="s">
        <v>74</v>
      </c>
      <c r="BN330" s="1" t="s">
        <v>74</v>
      </c>
      <c r="BO330" s="1" t="s">
        <v>74</v>
      </c>
      <c r="BP330" s="1" t="s">
        <v>74</v>
      </c>
      <c r="BQ330" s="1" t="s">
        <v>74</v>
      </c>
      <c r="BR330" s="1" t="s">
        <v>74</v>
      </c>
      <c r="BS330" s="1" t="s">
        <v>3551</v>
      </c>
      <c r="BT330" s="1" t="str">
        <f>HYPERLINK("https%3A%2F%2Fwww.webofscience.com%2Fwos%2Fwoscc%2Ffull-record%2FWOS:001050952100060","View Full Record in Web of Science")</f>
        <v>View Full Record in Web of Science</v>
      </c>
    </row>
    <row r="331" ht="12.75" customHeight="1">
      <c r="A331" s="1" t="s">
        <v>72</v>
      </c>
      <c r="B331" s="1" t="s">
        <v>3552</v>
      </c>
      <c r="C331" s="1" t="s">
        <v>74</v>
      </c>
      <c r="D331" s="1" t="s">
        <v>74</v>
      </c>
      <c r="E331" s="1" t="s">
        <v>74</v>
      </c>
      <c r="F331" s="1" t="s">
        <v>3553</v>
      </c>
      <c r="G331" s="1" t="s">
        <v>74</v>
      </c>
      <c r="H331" s="1" t="s">
        <v>74</v>
      </c>
      <c r="I331" s="1" t="s">
        <v>3554</v>
      </c>
      <c r="J331" s="1" t="s">
        <v>3555</v>
      </c>
      <c r="K331" s="1" t="s">
        <v>74</v>
      </c>
      <c r="L331" s="1" t="s">
        <v>74</v>
      </c>
      <c r="M331" s="1" t="s">
        <v>74</v>
      </c>
      <c r="N331" s="1" t="s">
        <v>74</v>
      </c>
      <c r="O331" s="1" t="s">
        <v>74</v>
      </c>
      <c r="P331" s="1" t="s">
        <v>74</v>
      </c>
      <c r="Q331" s="1" t="s">
        <v>74</v>
      </c>
      <c r="R331" s="1" t="s">
        <v>74</v>
      </c>
      <c r="S331" s="1" t="s">
        <v>74</v>
      </c>
      <c r="T331" s="1" t="s">
        <v>74</v>
      </c>
      <c r="U331" s="1" t="s">
        <v>74</v>
      </c>
      <c r="V331" s="1" t="s">
        <v>74</v>
      </c>
      <c r="W331" s="1" t="s">
        <v>74</v>
      </c>
      <c r="X331" s="1" t="s">
        <v>74</v>
      </c>
      <c r="Y331" s="1" t="s">
        <v>74</v>
      </c>
      <c r="Z331" s="1" t="s">
        <v>74</v>
      </c>
      <c r="AA331" s="1" t="s">
        <v>3556</v>
      </c>
      <c r="AB331" s="1" t="s">
        <v>3557</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3558</v>
      </c>
      <c r="AP331" s="1" t="s">
        <v>3559</v>
      </c>
      <c r="AQ331" s="1" t="s">
        <v>74</v>
      </c>
      <c r="AR331" s="1" t="s">
        <v>74</v>
      </c>
      <c r="AS331" s="1" t="s">
        <v>74</v>
      </c>
      <c r="AT331" s="1" t="s">
        <v>189</v>
      </c>
      <c r="AU331" s="1">
        <v>2020.0</v>
      </c>
      <c r="AV331" s="1">
        <v>56.0</v>
      </c>
      <c r="AW331" s="1">
        <v>6.0</v>
      </c>
      <c r="AX331" s="1" t="s">
        <v>74</v>
      </c>
      <c r="AY331" s="1" t="s">
        <v>74</v>
      </c>
      <c r="AZ331" s="1" t="s">
        <v>74</v>
      </c>
      <c r="BA331" s="1" t="s">
        <v>74</v>
      </c>
      <c r="BB331" s="1" t="s">
        <v>74</v>
      </c>
      <c r="BC331" s="1" t="s">
        <v>74</v>
      </c>
      <c r="BD331" s="1">
        <v>2001048.0</v>
      </c>
      <c r="BE331" s="1" t="s">
        <v>3560</v>
      </c>
      <c r="BF331" s="2" t="str">
        <f>HYPERLINK("http://dx.doi.org/10.1183/13993003.01048-2020","http://dx.doi.org/10.1183/13993003.01048-2020")</f>
        <v>http://dx.doi.org/10.1183/13993003.01048-2020</v>
      </c>
      <c r="BG331" s="1" t="s">
        <v>74</v>
      </c>
      <c r="BH331" s="1" t="s">
        <v>74</v>
      </c>
      <c r="BI331" s="1" t="s">
        <v>74</v>
      </c>
      <c r="BJ331" s="1" t="s">
        <v>74</v>
      </c>
      <c r="BK331" s="1" t="s">
        <v>74</v>
      </c>
      <c r="BL331" s="1" t="s">
        <v>74</v>
      </c>
      <c r="BM331" s="1" t="s">
        <v>74</v>
      </c>
      <c r="BN331" s="1">
        <v>3.2586887E7</v>
      </c>
      <c r="BO331" s="1" t="s">
        <v>74</v>
      </c>
      <c r="BP331" s="1" t="s">
        <v>74</v>
      </c>
      <c r="BQ331" s="1" t="s">
        <v>74</v>
      </c>
      <c r="BR331" s="1" t="s">
        <v>74</v>
      </c>
      <c r="BS331" s="1" t="s">
        <v>3561</v>
      </c>
      <c r="BT331" s="1" t="str">
        <f>HYPERLINK("https%3A%2F%2Fwww.webofscience.com%2Fwos%2Fwoscc%2Ffull-record%2FWOS:000620192200013","View Full Record in Web of Science")</f>
        <v>View Full Record in Web of Science</v>
      </c>
    </row>
    <row r="332" ht="12.75" customHeight="1">
      <c r="A332" s="1" t="s">
        <v>72</v>
      </c>
      <c r="B332" s="1" t="s">
        <v>3562</v>
      </c>
      <c r="C332" s="1" t="s">
        <v>74</v>
      </c>
      <c r="D332" s="1" t="s">
        <v>74</v>
      </c>
      <c r="E332" s="1" t="s">
        <v>74</v>
      </c>
      <c r="F332" s="1" t="s">
        <v>3563</v>
      </c>
      <c r="G332" s="1" t="s">
        <v>74</v>
      </c>
      <c r="H332" s="1" t="s">
        <v>74</v>
      </c>
      <c r="I332" s="1" t="s">
        <v>3564</v>
      </c>
      <c r="J332" s="1" t="s">
        <v>1609</v>
      </c>
      <c r="K332" s="1" t="s">
        <v>74</v>
      </c>
      <c r="L332" s="1" t="s">
        <v>74</v>
      </c>
      <c r="M332" s="1" t="s">
        <v>74</v>
      </c>
      <c r="N332" s="1" t="s">
        <v>74</v>
      </c>
      <c r="O332" s="1" t="s">
        <v>74</v>
      </c>
      <c r="P332" s="1" t="s">
        <v>74</v>
      </c>
      <c r="Q332" s="1" t="s">
        <v>74</v>
      </c>
      <c r="R332" s="1" t="s">
        <v>74</v>
      </c>
      <c r="S332" s="1" t="s">
        <v>74</v>
      </c>
      <c r="T332" s="1" t="s">
        <v>74</v>
      </c>
      <c r="U332" s="1" t="s">
        <v>74</v>
      </c>
      <c r="V332" s="1" t="s">
        <v>3565</v>
      </c>
      <c r="W332" s="1" t="s">
        <v>74</v>
      </c>
      <c r="X332" s="1" t="s">
        <v>74</v>
      </c>
      <c r="Y332" s="1" t="s">
        <v>74</v>
      </c>
      <c r="Z332" s="1" t="s">
        <v>74</v>
      </c>
      <c r="AA332" s="1" t="s">
        <v>3566</v>
      </c>
      <c r="AB332" s="1" t="s">
        <v>3567</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1613</v>
      </c>
      <c r="AP332" s="1" t="s">
        <v>1614</v>
      </c>
      <c r="AQ332" s="1" t="s">
        <v>74</v>
      </c>
      <c r="AR332" s="1" t="s">
        <v>74</v>
      </c>
      <c r="AS332" s="1" t="s">
        <v>74</v>
      </c>
      <c r="AT332" s="1" t="s">
        <v>392</v>
      </c>
      <c r="AU332" s="1">
        <v>2019.0</v>
      </c>
      <c r="AV332" s="1">
        <v>8.0</v>
      </c>
      <c r="AW332" s="1">
        <v>2.0</v>
      </c>
      <c r="AX332" s="1" t="s">
        <v>74</v>
      </c>
      <c r="AY332" s="1" t="s">
        <v>74</v>
      </c>
      <c r="AZ332" s="1" t="s">
        <v>74</v>
      </c>
      <c r="BA332" s="1" t="s">
        <v>74</v>
      </c>
      <c r="BB332" s="1">
        <v>1809.0</v>
      </c>
      <c r="BC332" s="1">
        <v>1818.0</v>
      </c>
      <c r="BD332" s="1" t="s">
        <v>74</v>
      </c>
      <c r="BE332" s="1" t="s">
        <v>3568</v>
      </c>
      <c r="BF332" s="2" t="str">
        <f>HYPERLINK("http://dx.doi.org/10.1016/j.jmrt.2018.12.011","http://dx.doi.org/10.1016/j.jmrt.2018.12.011")</f>
        <v>http://dx.doi.org/10.1016/j.jmrt.2018.12.011</v>
      </c>
      <c r="BG332" s="1" t="s">
        <v>74</v>
      </c>
      <c r="BH332" s="1" t="s">
        <v>74</v>
      </c>
      <c r="BI332" s="1" t="s">
        <v>74</v>
      </c>
      <c r="BJ332" s="1" t="s">
        <v>74</v>
      </c>
      <c r="BK332" s="1" t="s">
        <v>74</v>
      </c>
      <c r="BL332" s="1" t="s">
        <v>74</v>
      </c>
      <c r="BM332" s="1" t="s">
        <v>74</v>
      </c>
      <c r="BN332" s="1" t="s">
        <v>74</v>
      </c>
      <c r="BO332" s="1" t="s">
        <v>74</v>
      </c>
      <c r="BP332" s="1" t="s">
        <v>74</v>
      </c>
      <c r="BQ332" s="1" t="s">
        <v>74</v>
      </c>
      <c r="BR332" s="1" t="s">
        <v>74</v>
      </c>
      <c r="BS332" s="1" t="s">
        <v>3569</v>
      </c>
      <c r="BT332" s="1" t="str">
        <f>HYPERLINK("https%3A%2F%2Fwww.webofscience.com%2Fwos%2Fwoscc%2Ffull-record%2FWOS:000469405800024","View Full Record in Web of Science")</f>
        <v>View Full Record in Web of Science</v>
      </c>
    </row>
    <row r="333" ht="12.75" customHeight="1">
      <c r="A333" s="1" t="s">
        <v>72</v>
      </c>
      <c r="B333" s="1" t="s">
        <v>3570</v>
      </c>
      <c r="C333" s="1" t="s">
        <v>74</v>
      </c>
      <c r="D333" s="1" t="s">
        <v>74</v>
      </c>
      <c r="E333" s="1" t="s">
        <v>74</v>
      </c>
      <c r="F333" s="1" t="s">
        <v>3571</v>
      </c>
      <c r="G333" s="1" t="s">
        <v>74</v>
      </c>
      <c r="H333" s="1" t="s">
        <v>74</v>
      </c>
      <c r="I333" s="1" t="s">
        <v>3572</v>
      </c>
      <c r="J333" s="1" t="s">
        <v>3573</v>
      </c>
      <c r="K333" s="1" t="s">
        <v>74</v>
      </c>
      <c r="L333" s="1" t="s">
        <v>74</v>
      </c>
      <c r="M333" s="1" t="s">
        <v>74</v>
      </c>
      <c r="N333" s="1" t="s">
        <v>74</v>
      </c>
      <c r="O333" s="1" t="s">
        <v>74</v>
      </c>
      <c r="P333" s="1" t="s">
        <v>74</v>
      </c>
      <c r="Q333" s="1" t="s">
        <v>74</v>
      </c>
      <c r="R333" s="1" t="s">
        <v>74</v>
      </c>
      <c r="S333" s="1" t="s">
        <v>74</v>
      </c>
      <c r="T333" s="1" t="s">
        <v>74</v>
      </c>
      <c r="U333" s="1" t="s">
        <v>74</v>
      </c>
      <c r="V333" s="1" t="s">
        <v>3574</v>
      </c>
      <c r="W333" s="1" t="s">
        <v>74</v>
      </c>
      <c r="X333" s="1" t="s">
        <v>74</v>
      </c>
      <c r="Y333" s="1" t="s">
        <v>74</v>
      </c>
      <c r="Z333" s="1" t="s">
        <v>74</v>
      </c>
      <c r="AA333" s="1" t="s">
        <v>3575</v>
      </c>
      <c r="AB333" s="1" t="s">
        <v>3576</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3577</v>
      </c>
      <c r="AP333" s="1" t="s">
        <v>3578</v>
      </c>
      <c r="AQ333" s="1" t="s">
        <v>74</v>
      </c>
      <c r="AR333" s="1" t="s">
        <v>74</v>
      </c>
      <c r="AS333" s="1" t="s">
        <v>74</v>
      </c>
      <c r="AT333" s="1" t="s">
        <v>3579</v>
      </c>
      <c r="AU333" s="1">
        <v>2013.0</v>
      </c>
      <c r="AV333" s="1">
        <v>111.0</v>
      </c>
      <c r="AW333" s="1">
        <v>1.0</v>
      </c>
      <c r="AX333" s="1" t="s">
        <v>74</v>
      </c>
      <c r="AY333" s="1" t="s">
        <v>74</v>
      </c>
      <c r="AZ333" s="1" t="s">
        <v>74</v>
      </c>
      <c r="BA333" s="1" t="s">
        <v>74</v>
      </c>
      <c r="BB333" s="1" t="s">
        <v>74</v>
      </c>
      <c r="BC333" s="1" t="s">
        <v>74</v>
      </c>
      <c r="BD333" s="1">
        <v>14301.0</v>
      </c>
      <c r="BE333" s="1" t="s">
        <v>3580</v>
      </c>
      <c r="BF333" s="2" t="str">
        <f>HYPERLINK("http://dx.doi.org/10.1103/PhysRevLett.111.014301","http://dx.doi.org/10.1103/PhysRevLett.111.014301")</f>
        <v>http://dx.doi.org/10.1103/PhysRevLett.111.014301</v>
      </c>
      <c r="BG333" s="1" t="s">
        <v>74</v>
      </c>
      <c r="BH333" s="1" t="s">
        <v>74</v>
      </c>
      <c r="BI333" s="1" t="s">
        <v>74</v>
      </c>
      <c r="BJ333" s="1" t="s">
        <v>74</v>
      </c>
      <c r="BK333" s="1" t="s">
        <v>74</v>
      </c>
      <c r="BL333" s="1" t="s">
        <v>74</v>
      </c>
      <c r="BM333" s="1" t="s">
        <v>74</v>
      </c>
      <c r="BN333" s="1">
        <v>2.3863002E7</v>
      </c>
      <c r="BO333" s="1" t="s">
        <v>74</v>
      </c>
      <c r="BP333" s="1" t="s">
        <v>74</v>
      </c>
      <c r="BQ333" s="1" t="s">
        <v>74</v>
      </c>
      <c r="BR333" s="1" t="s">
        <v>74</v>
      </c>
      <c r="BS333" s="1" t="s">
        <v>3581</v>
      </c>
      <c r="BT333" s="1" t="str">
        <f>HYPERLINK("https%3A%2F%2Fwww.webofscience.com%2Fwos%2Fwoscc%2Ffull-record%2FWOS:000321278300007","View Full Record in Web of Science")</f>
        <v>View Full Record in Web of Science</v>
      </c>
    </row>
    <row r="334" ht="12.75" customHeight="1">
      <c r="A334" s="1" t="s">
        <v>72</v>
      </c>
      <c r="B334" s="1" t="s">
        <v>3582</v>
      </c>
      <c r="C334" s="1" t="s">
        <v>74</v>
      </c>
      <c r="D334" s="1" t="s">
        <v>74</v>
      </c>
      <c r="E334" s="1" t="s">
        <v>74</v>
      </c>
      <c r="F334" s="1" t="s">
        <v>3583</v>
      </c>
      <c r="G334" s="1" t="s">
        <v>74</v>
      </c>
      <c r="H334" s="1" t="s">
        <v>74</v>
      </c>
      <c r="I334" s="1" t="s">
        <v>3584</v>
      </c>
      <c r="J334" s="1" t="s">
        <v>3512</v>
      </c>
      <c r="K334" s="1" t="s">
        <v>74</v>
      </c>
      <c r="L334" s="1" t="s">
        <v>74</v>
      </c>
      <c r="M334" s="1" t="s">
        <v>74</v>
      </c>
      <c r="N334" s="1" t="s">
        <v>74</v>
      </c>
      <c r="O334" s="1" t="s">
        <v>74</v>
      </c>
      <c r="P334" s="1" t="s">
        <v>74</v>
      </c>
      <c r="Q334" s="1" t="s">
        <v>74</v>
      </c>
      <c r="R334" s="1" t="s">
        <v>74</v>
      </c>
      <c r="S334" s="1" t="s">
        <v>74</v>
      </c>
      <c r="T334" s="1" t="s">
        <v>74</v>
      </c>
      <c r="U334" s="1" t="s">
        <v>74</v>
      </c>
      <c r="V334" s="1" t="s">
        <v>3585</v>
      </c>
      <c r="W334" s="1" t="s">
        <v>74</v>
      </c>
      <c r="X334" s="1" t="s">
        <v>74</v>
      </c>
      <c r="Y334" s="1" t="s">
        <v>74</v>
      </c>
      <c r="Z334" s="1" t="s">
        <v>74</v>
      </c>
      <c r="AA334" s="1" t="s">
        <v>3586</v>
      </c>
      <c r="AB334" s="1" t="s">
        <v>3587</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74</v>
      </c>
      <c r="AP334" s="1" t="s">
        <v>3516</v>
      </c>
      <c r="AQ334" s="1" t="s">
        <v>74</v>
      </c>
      <c r="AR334" s="1" t="s">
        <v>74</v>
      </c>
      <c r="AS334" s="1" t="s">
        <v>74</v>
      </c>
      <c r="AT334" s="1" t="s">
        <v>141</v>
      </c>
      <c r="AU334" s="1">
        <v>2020.0</v>
      </c>
      <c r="AV334" s="1">
        <v>7.0</v>
      </c>
      <c r="AW334" s="1">
        <v>9.0</v>
      </c>
      <c r="AX334" s="1" t="s">
        <v>74</v>
      </c>
      <c r="AY334" s="1" t="s">
        <v>74</v>
      </c>
      <c r="AZ334" s="1" t="s">
        <v>74</v>
      </c>
      <c r="BA334" s="1" t="s">
        <v>74</v>
      </c>
      <c r="BB334" s="1" t="s">
        <v>74</v>
      </c>
      <c r="BC334" s="1" t="s">
        <v>74</v>
      </c>
      <c r="BD334" s="1">
        <v>147.0</v>
      </c>
      <c r="BE334" s="1" t="s">
        <v>3588</v>
      </c>
      <c r="BF334" s="2" t="str">
        <f>HYPERLINK("http://dx.doi.org/10.3390/children7090147","http://dx.doi.org/10.3390/children7090147")</f>
        <v>http://dx.doi.org/10.3390/children7090147</v>
      </c>
      <c r="BG334" s="1" t="s">
        <v>74</v>
      </c>
      <c r="BH334" s="1" t="s">
        <v>74</v>
      </c>
      <c r="BI334" s="1" t="s">
        <v>74</v>
      </c>
      <c r="BJ334" s="1" t="s">
        <v>74</v>
      </c>
      <c r="BK334" s="1" t="s">
        <v>74</v>
      </c>
      <c r="BL334" s="1" t="s">
        <v>74</v>
      </c>
      <c r="BM334" s="1" t="s">
        <v>74</v>
      </c>
      <c r="BN334" s="1">
        <v>3.2967205E7</v>
      </c>
      <c r="BO334" s="1" t="s">
        <v>74</v>
      </c>
      <c r="BP334" s="1" t="s">
        <v>74</v>
      </c>
      <c r="BQ334" s="1" t="s">
        <v>74</v>
      </c>
      <c r="BR334" s="1" t="s">
        <v>74</v>
      </c>
      <c r="BS334" s="1" t="s">
        <v>3589</v>
      </c>
      <c r="BT334" s="1" t="str">
        <f>HYPERLINK("https%3A%2F%2Fwww.webofscience.com%2Fwos%2Fwoscc%2Ffull-record%2FWOS:000578874400001","View Full Record in Web of Science")</f>
        <v>View Full Record in Web of Science</v>
      </c>
    </row>
    <row r="335" ht="12.75" customHeight="1">
      <c r="A335" s="1" t="s">
        <v>72</v>
      </c>
      <c r="B335" s="1" t="s">
        <v>3590</v>
      </c>
      <c r="C335" s="1" t="s">
        <v>74</v>
      </c>
      <c r="D335" s="1" t="s">
        <v>74</v>
      </c>
      <c r="E335" s="1" t="s">
        <v>74</v>
      </c>
      <c r="F335" s="1" t="s">
        <v>3591</v>
      </c>
      <c r="G335" s="1" t="s">
        <v>74</v>
      </c>
      <c r="H335" s="1" t="s">
        <v>74</v>
      </c>
      <c r="I335" s="1" t="s">
        <v>3592</v>
      </c>
      <c r="J335" s="1" t="s">
        <v>3593</v>
      </c>
      <c r="K335" s="1" t="s">
        <v>74</v>
      </c>
      <c r="L335" s="1" t="s">
        <v>74</v>
      </c>
      <c r="M335" s="1" t="s">
        <v>74</v>
      </c>
      <c r="N335" s="1" t="s">
        <v>74</v>
      </c>
      <c r="O335" s="1" t="s">
        <v>74</v>
      </c>
      <c r="P335" s="1" t="s">
        <v>74</v>
      </c>
      <c r="Q335" s="1" t="s">
        <v>74</v>
      </c>
      <c r="R335" s="1" t="s">
        <v>74</v>
      </c>
      <c r="S335" s="1" t="s">
        <v>74</v>
      </c>
      <c r="T335" s="1" t="s">
        <v>74</v>
      </c>
      <c r="U335" s="1" t="s">
        <v>74</v>
      </c>
      <c r="V335" s="1" t="s">
        <v>3594</v>
      </c>
      <c r="W335" s="1" t="s">
        <v>74</v>
      </c>
      <c r="X335" s="1" t="s">
        <v>74</v>
      </c>
      <c r="Y335" s="1" t="s">
        <v>74</v>
      </c>
      <c r="Z335" s="1" t="s">
        <v>74</v>
      </c>
      <c r="AA335" s="1" t="s">
        <v>3595</v>
      </c>
      <c r="AB335" s="1" t="s">
        <v>3596</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74</v>
      </c>
      <c r="AP335" s="1" t="s">
        <v>3597</v>
      </c>
      <c r="AQ335" s="1" t="s">
        <v>74</v>
      </c>
      <c r="AR335" s="1" t="s">
        <v>74</v>
      </c>
      <c r="AS335" s="1" t="s">
        <v>74</v>
      </c>
      <c r="AT335" s="1" t="s">
        <v>447</v>
      </c>
      <c r="AU335" s="1">
        <v>2024.0</v>
      </c>
      <c r="AV335" s="1">
        <v>16.0</v>
      </c>
      <c r="AW335" s="1">
        <v>8.0</v>
      </c>
      <c r="AX335" s="1" t="s">
        <v>74</v>
      </c>
      <c r="AY335" s="1" t="s">
        <v>74</v>
      </c>
      <c r="AZ335" s="1" t="s">
        <v>74</v>
      </c>
      <c r="BA335" s="1" t="s">
        <v>74</v>
      </c>
      <c r="BB335" s="1" t="s">
        <v>74</v>
      </c>
      <c r="BC335" s="1" t="s">
        <v>74</v>
      </c>
      <c r="BD335" s="1">
        <v>991.0</v>
      </c>
      <c r="BE335" s="1" t="s">
        <v>3598</v>
      </c>
      <c r="BF335" s="2" t="str">
        <f>HYPERLINK("http://dx.doi.org/10.3390/sym16080991","http://dx.doi.org/10.3390/sym16080991")</f>
        <v>http://dx.doi.org/10.3390/sym16080991</v>
      </c>
      <c r="BG335" s="1" t="s">
        <v>74</v>
      </c>
      <c r="BH335" s="1" t="s">
        <v>74</v>
      </c>
      <c r="BI335" s="1" t="s">
        <v>74</v>
      </c>
      <c r="BJ335" s="1" t="s">
        <v>74</v>
      </c>
      <c r="BK335" s="1" t="s">
        <v>74</v>
      </c>
      <c r="BL335" s="1" t="s">
        <v>74</v>
      </c>
      <c r="BM335" s="1" t="s">
        <v>74</v>
      </c>
      <c r="BN335" s="1" t="s">
        <v>74</v>
      </c>
      <c r="BO335" s="1" t="s">
        <v>74</v>
      </c>
      <c r="BP335" s="1" t="s">
        <v>74</v>
      </c>
      <c r="BQ335" s="1" t="s">
        <v>74</v>
      </c>
      <c r="BR335" s="1" t="s">
        <v>74</v>
      </c>
      <c r="BS335" s="1" t="s">
        <v>3599</v>
      </c>
      <c r="BT335" s="1" t="str">
        <f>HYPERLINK("https%3A%2F%2Fwww.webofscience.com%2Fwos%2Fwoscc%2Ffull-record%2FWOS:001305061100001","View Full Record in Web of Science")</f>
        <v>View Full Record in Web of Science</v>
      </c>
    </row>
    <row r="336" ht="12.75" customHeight="1">
      <c r="A336" s="1" t="s">
        <v>72</v>
      </c>
      <c r="B336" s="1" t="s">
        <v>3600</v>
      </c>
      <c r="C336" s="1" t="s">
        <v>74</v>
      </c>
      <c r="D336" s="1" t="s">
        <v>74</v>
      </c>
      <c r="E336" s="1" t="s">
        <v>74</v>
      </c>
      <c r="F336" s="1" t="s">
        <v>3601</v>
      </c>
      <c r="G336" s="1" t="s">
        <v>74</v>
      </c>
      <c r="H336" s="1" t="s">
        <v>74</v>
      </c>
      <c r="I336" s="1" t="s">
        <v>3602</v>
      </c>
      <c r="J336" s="1" t="s">
        <v>3603</v>
      </c>
      <c r="K336" s="1" t="s">
        <v>74</v>
      </c>
      <c r="L336" s="1" t="s">
        <v>74</v>
      </c>
      <c r="M336" s="1" t="s">
        <v>74</v>
      </c>
      <c r="N336" s="1" t="s">
        <v>74</v>
      </c>
      <c r="O336" s="1" t="s">
        <v>74</v>
      </c>
      <c r="P336" s="1" t="s">
        <v>74</v>
      </c>
      <c r="Q336" s="1" t="s">
        <v>74</v>
      </c>
      <c r="R336" s="1" t="s">
        <v>74</v>
      </c>
      <c r="S336" s="1" t="s">
        <v>74</v>
      </c>
      <c r="T336" s="1" t="s">
        <v>74</v>
      </c>
      <c r="U336" s="1" t="s">
        <v>74</v>
      </c>
      <c r="V336" s="1" t="s">
        <v>3604</v>
      </c>
      <c r="W336" s="1" t="s">
        <v>74</v>
      </c>
      <c r="X336" s="1" t="s">
        <v>74</v>
      </c>
      <c r="Y336" s="1" t="s">
        <v>74</v>
      </c>
      <c r="Z336" s="1" t="s">
        <v>74</v>
      </c>
      <c r="AA336" s="1" t="s">
        <v>3605</v>
      </c>
      <c r="AB336" s="1" t="s">
        <v>3606</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3607</v>
      </c>
      <c r="AP336" s="1" t="s">
        <v>74</v>
      </c>
      <c r="AQ336" s="1" t="s">
        <v>74</v>
      </c>
      <c r="AR336" s="1" t="s">
        <v>74</v>
      </c>
      <c r="AS336" s="1" t="s">
        <v>74</v>
      </c>
      <c r="AT336" s="1" t="s">
        <v>3608</v>
      </c>
      <c r="AU336" s="1">
        <v>2024.0</v>
      </c>
      <c r="AV336" s="1">
        <v>15.0</v>
      </c>
      <c r="AW336" s="1">
        <v>8.0</v>
      </c>
      <c r="AX336" s="1" t="s">
        <v>74</v>
      </c>
      <c r="AY336" s="1" t="s">
        <v>74</v>
      </c>
      <c r="AZ336" s="1" t="s">
        <v>74</v>
      </c>
      <c r="BA336" s="1" t="s">
        <v>74</v>
      </c>
      <c r="BB336" s="1" t="s">
        <v>74</v>
      </c>
      <c r="BC336" s="1" t="s">
        <v>74</v>
      </c>
      <c r="BD336" s="1" t="s">
        <v>74</v>
      </c>
      <c r="BE336" s="1" t="s">
        <v>3609</v>
      </c>
      <c r="BF336" s="2" t="str">
        <f>HYPERLINK("http://dx.doi.org/10.1128/mbio.01408-24","http://dx.doi.org/10.1128/mbio.01408-24")</f>
        <v>http://dx.doi.org/10.1128/mbio.01408-24</v>
      </c>
      <c r="BG336" s="1" t="s">
        <v>74</v>
      </c>
      <c r="BH336" s="1" t="s">
        <v>689</v>
      </c>
      <c r="BI336" s="1" t="s">
        <v>74</v>
      </c>
      <c r="BJ336" s="1" t="s">
        <v>74</v>
      </c>
      <c r="BK336" s="1" t="s">
        <v>74</v>
      </c>
      <c r="BL336" s="1" t="s">
        <v>74</v>
      </c>
      <c r="BM336" s="1" t="s">
        <v>74</v>
      </c>
      <c r="BN336" s="1">
        <v>3.8980007E7</v>
      </c>
      <c r="BO336" s="1" t="s">
        <v>74</v>
      </c>
      <c r="BP336" s="1" t="s">
        <v>74</v>
      </c>
      <c r="BQ336" s="1" t="s">
        <v>74</v>
      </c>
      <c r="BR336" s="1" t="s">
        <v>74</v>
      </c>
      <c r="BS336" s="1" t="s">
        <v>3610</v>
      </c>
      <c r="BT336" s="1" t="str">
        <f>HYPERLINK("https%3A%2F%2Fwww.webofscience.com%2Fwos%2Fwoscc%2Ffull-record%2FWOS:001268337500002","View Full Record in Web of Science")</f>
        <v>View Full Record in Web of Science</v>
      </c>
    </row>
    <row r="337" ht="12.75" customHeight="1">
      <c r="A337" s="1" t="s">
        <v>72</v>
      </c>
      <c r="B337" s="1" t="s">
        <v>3611</v>
      </c>
      <c r="C337" s="1" t="s">
        <v>74</v>
      </c>
      <c r="D337" s="1" t="s">
        <v>74</v>
      </c>
      <c r="E337" s="1" t="s">
        <v>74</v>
      </c>
      <c r="F337" s="1" t="s">
        <v>3612</v>
      </c>
      <c r="G337" s="1" t="s">
        <v>74</v>
      </c>
      <c r="H337" s="1" t="s">
        <v>74</v>
      </c>
      <c r="I337" s="1" t="s">
        <v>3613</v>
      </c>
      <c r="J337" s="1" t="s">
        <v>3614</v>
      </c>
      <c r="K337" s="1" t="s">
        <v>74</v>
      </c>
      <c r="L337" s="1" t="s">
        <v>74</v>
      </c>
      <c r="M337" s="1" t="s">
        <v>74</v>
      </c>
      <c r="N337" s="1" t="s">
        <v>74</v>
      </c>
      <c r="O337" s="1" t="s">
        <v>74</v>
      </c>
      <c r="P337" s="1" t="s">
        <v>74</v>
      </c>
      <c r="Q337" s="1" t="s">
        <v>74</v>
      </c>
      <c r="R337" s="1" t="s">
        <v>74</v>
      </c>
      <c r="S337" s="1" t="s">
        <v>74</v>
      </c>
      <c r="T337" s="1" t="s">
        <v>74</v>
      </c>
      <c r="U337" s="1" t="s">
        <v>74</v>
      </c>
      <c r="V337" s="1" t="s">
        <v>3615</v>
      </c>
      <c r="W337" s="1" t="s">
        <v>74</v>
      </c>
      <c r="X337" s="1" t="s">
        <v>74</v>
      </c>
      <c r="Y337" s="1" t="s">
        <v>74</v>
      </c>
      <c r="Z337" s="1" t="s">
        <v>74</v>
      </c>
      <c r="AA337" s="1" t="s">
        <v>3616</v>
      </c>
      <c r="AB337" s="1" t="s">
        <v>3617</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3618</v>
      </c>
      <c r="AP337" s="1" t="s">
        <v>74</v>
      </c>
      <c r="AQ337" s="1" t="s">
        <v>74</v>
      </c>
      <c r="AR337" s="1" t="s">
        <v>74</v>
      </c>
      <c r="AS337" s="1" t="s">
        <v>74</v>
      </c>
      <c r="AT337" s="1" t="s">
        <v>202</v>
      </c>
      <c r="AU337" s="1">
        <v>2023.0</v>
      </c>
      <c r="AV337" s="1">
        <v>34.0</v>
      </c>
      <c r="AW337" s="1" t="s">
        <v>74</v>
      </c>
      <c r="AX337" s="1" t="s">
        <v>74</v>
      </c>
      <c r="AY337" s="1" t="s">
        <v>74</v>
      </c>
      <c r="AZ337" s="1" t="s">
        <v>74</v>
      </c>
      <c r="BA337" s="1" t="s">
        <v>74</v>
      </c>
      <c r="BB337" s="1" t="s">
        <v>74</v>
      </c>
      <c r="BC337" s="1" t="s">
        <v>74</v>
      </c>
      <c r="BD337" s="1">
        <v>101009.0</v>
      </c>
      <c r="BE337" s="1" t="s">
        <v>3619</v>
      </c>
      <c r="BF337" s="2" t="str">
        <f>HYPERLINK("http://dx.doi.org/10.1016/j.segan.2023.101009","http://dx.doi.org/10.1016/j.segan.2023.101009")</f>
        <v>http://dx.doi.org/10.1016/j.segan.2023.101009</v>
      </c>
      <c r="BG337" s="1" t="s">
        <v>74</v>
      </c>
      <c r="BH337" s="1" t="s">
        <v>3620</v>
      </c>
      <c r="BI337" s="1" t="s">
        <v>74</v>
      </c>
      <c r="BJ337" s="1" t="s">
        <v>74</v>
      </c>
      <c r="BK337" s="1" t="s">
        <v>74</v>
      </c>
      <c r="BL337" s="1" t="s">
        <v>74</v>
      </c>
      <c r="BM337" s="1" t="s">
        <v>74</v>
      </c>
      <c r="BN337" s="1" t="s">
        <v>74</v>
      </c>
      <c r="BO337" s="1" t="s">
        <v>74</v>
      </c>
      <c r="BP337" s="1" t="s">
        <v>74</v>
      </c>
      <c r="BQ337" s="1" t="s">
        <v>74</v>
      </c>
      <c r="BR337" s="1" t="s">
        <v>74</v>
      </c>
      <c r="BS337" s="1" t="s">
        <v>3621</v>
      </c>
      <c r="BT337" s="1" t="str">
        <f>HYPERLINK("https%3A%2F%2Fwww.webofscience.com%2Fwos%2Fwoscc%2Ffull-record%2FWOS:001007245500001","View Full Record in Web of Science")</f>
        <v>View Full Record in Web of Science</v>
      </c>
    </row>
    <row r="338" ht="12.75" customHeight="1">
      <c r="A338" s="1" t="s">
        <v>72</v>
      </c>
      <c r="B338" s="1" t="s">
        <v>3622</v>
      </c>
      <c r="C338" s="1" t="s">
        <v>74</v>
      </c>
      <c r="D338" s="1" t="s">
        <v>74</v>
      </c>
      <c r="E338" s="1" t="s">
        <v>74</v>
      </c>
      <c r="F338" s="1" t="s">
        <v>3623</v>
      </c>
      <c r="G338" s="1" t="s">
        <v>74</v>
      </c>
      <c r="H338" s="1" t="s">
        <v>74</v>
      </c>
      <c r="I338" s="1" t="s">
        <v>3624</v>
      </c>
      <c r="J338" s="1" t="s">
        <v>480</v>
      </c>
      <c r="K338" s="1" t="s">
        <v>74</v>
      </c>
      <c r="L338" s="1" t="s">
        <v>74</v>
      </c>
      <c r="M338" s="1" t="s">
        <v>74</v>
      </c>
      <c r="N338" s="1" t="s">
        <v>74</v>
      </c>
      <c r="O338" s="1" t="s">
        <v>74</v>
      </c>
      <c r="P338" s="1" t="s">
        <v>74</v>
      </c>
      <c r="Q338" s="1" t="s">
        <v>74</v>
      </c>
      <c r="R338" s="1" t="s">
        <v>74</v>
      </c>
      <c r="S338" s="1" t="s">
        <v>74</v>
      </c>
      <c r="T338" s="1" t="s">
        <v>74</v>
      </c>
      <c r="U338" s="1" t="s">
        <v>74</v>
      </c>
      <c r="V338" s="1" t="s">
        <v>3625</v>
      </c>
      <c r="W338" s="1" t="s">
        <v>74</v>
      </c>
      <c r="X338" s="1" t="s">
        <v>74</v>
      </c>
      <c r="Y338" s="1" t="s">
        <v>74</v>
      </c>
      <c r="Z338" s="1" t="s">
        <v>74</v>
      </c>
      <c r="AA338" s="1" t="s">
        <v>3626</v>
      </c>
      <c r="AB338" s="1" t="s">
        <v>3627</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484</v>
      </c>
      <c r="AP338" s="1" t="s">
        <v>74</v>
      </c>
      <c r="AQ338" s="1" t="s">
        <v>74</v>
      </c>
      <c r="AR338" s="1" t="s">
        <v>74</v>
      </c>
      <c r="AS338" s="1" t="s">
        <v>74</v>
      </c>
      <c r="AT338" s="1" t="s">
        <v>299</v>
      </c>
      <c r="AU338" s="1">
        <v>2021.0</v>
      </c>
      <c r="AV338" s="1">
        <v>11.0</v>
      </c>
      <c r="AW338" s="1">
        <v>1.0</v>
      </c>
      <c r="AX338" s="1" t="s">
        <v>74</v>
      </c>
      <c r="AY338" s="1" t="s">
        <v>74</v>
      </c>
      <c r="AZ338" s="1" t="s">
        <v>74</v>
      </c>
      <c r="BA338" s="1" t="s">
        <v>74</v>
      </c>
      <c r="BB338" s="1" t="s">
        <v>74</v>
      </c>
      <c r="BC338" s="1" t="s">
        <v>74</v>
      </c>
      <c r="BD338" s="1">
        <v>15946.0</v>
      </c>
      <c r="BE338" s="1" t="s">
        <v>3628</v>
      </c>
      <c r="BF338" s="2" t="str">
        <f>HYPERLINK("http://dx.doi.org/10.1038/s41598-021-95566-7","http://dx.doi.org/10.1038/s41598-021-95566-7")</f>
        <v>http://dx.doi.org/10.1038/s41598-021-95566-7</v>
      </c>
      <c r="BG338" s="1" t="s">
        <v>74</v>
      </c>
      <c r="BH338" s="1" t="s">
        <v>74</v>
      </c>
      <c r="BI338" s="1" t="s">
        <v>74</v>
      </c>
      <c r="BJ338" s="1" t="s">
        <v>74</v>
      </c>
      <c r="BK338" s="1" t="s">
        <v>74</v>
      </c>
      <c r="BL338" s="1" t="s">
        <v>74</v>
      </c>
      <c r="BM338" s="1" t="s">
        <v>74</v>
      </c>
      <c r="BN338" s="1">
        <v>3.4354204E7</v>
      </c>
      <c r="BO338" s="1" t="s">
        <v>74</v>
      </c>
      <c r="BP338" s="1" t="s">
        <v>74</v>
      </c>
      <c r="BQ338" s="1" t="s">
        <v>74</v>
      </c>
      <c r="BR338" s="1" t="s">
        <v>74</v>
      </c>
      <c r="BS338" s="1" t="s">
        <v>3629</v>
      </c>
      <c r="BT338" s="1" t="str">
        <f>HYPERLINK("https%3A%2F%2Fwww.webofscience.com%2Fwos%2Fwoscc%2Ffull-record%2FWOS:000684439300005","View Full Record in Web of Science")</f>
        <v>View Full Record in Web of Science</v>
      </c>
    </row>
    <row r="339" ht="12.75" customHeight="1">
      <c r="A339" s="1" t="s">
        <v>72</v>
      </c>
      <c r="B339" s="1" t="s">
        <v>3630</v>
      </c>
      <c r="C339" s="1" t="s">
        <v>74</v>
      </c>
      <c r="D339" s="1" t="s">
        <v>74</v>
      </c>
      <c r="E339" s="1" t="s">
        <v>74</v>
      </c>
      <c r="F339" s="1" t="s">
        <v>3631</v>
      </c>
      <c r="G339" s="1" t="s">
        <v>74</v>
      </c>
      <c r="H339" s="1" t="s">
        <v>74</v>
      </c>
      <c r="I339" s="1" t="s">
        <v>3632</v>
      </c>
      <c r="J339" s="1" t="s">
        <v>3633</v>
      </c>
      <c r="K339" s="1" t="s">
        <v>74</v>
      </c>
      <c r="L339" s="1" t="s">
        <v>74</v>
      </c>
      <c r="M339" s="1" t="s">
        <v>74</v>
      </c>
      <c r="N339" s="1" t="s">
        <v>74</v>
      </c>
      <c r="O339" s="1" t="s">
        <v>74</v>
      </c>
      <c r="P339" s="1" t="s">
        <v>74</v>
      </c>
      <c r="Q339" s="1" t="s">
        <v>74</v>
      </c>
      <c r="R339" s="1" t="s">
        <v>74</v>
      </c>
      <c r="S339" s="1" t="s">
        <v>74</v>
      </c>
      <c r="T339" s="1" t="s">
        <v>74</v>
      </c>
      <c r="U339" s="1" t="s">
        <v>74</v>
      </c>
      <c r="V339" s="1" t="s">
        <v>3634</v>
      </c>
      <c r="W339" s="1" t="s">
        <v>74</v>
      </c>
      <c r="X339" s="1" t="s">
        <v>74</v>
      </c>
      <c r="Y339" s="1" t="s">
        <v>74</v>
      </c>
      <c r="Z339" s="1" t="s">
        <v>74</v>
      </c>
      <c r="AA339" s="1" t="s">
        <v>3635</v>
      </c>
      <c r="AB339" s="1" t="s">
        <v>3636</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74</v>
      </c>
      <c r="AP339" s="1" t="s">
        <v>3637</v>
      </c>
      <c r="AQ339" s="1" t="s">
        <v>74</v>
      </c>
      <c r="AR339" s="1" t="s">
        <v>74</v>
      </c>
      <c r="AS339" s="1" t="s">
        <v>74</v>
      </c>
      <c r="AT339" s="1" t="s">
        <v>3638</v>
      </c>
      <c r="AU339" s="1">
        <v>2020.0</v>
      </c>
      <c r="AV339" s="1">
        <v>7.0</v>
      </c>
      <c r="AW339" s="1">
        <v>5.0</v>
      </c>
      <c r="AX339" s="1" t="s">
        <v>74</v>
      </c>
      <c r="AY339" s="1" t="s">
        <v>74</v>
      </c>
      <c r="AZ339" s="1" t="s">
        <v>74</v>
      </c>
      <c r="BA339" s="1" t="s">
        <v>74</v>
      </c>
      <c r="BB339" s="1" t="s">
        <v>74</v>
      </c>
      <c r="BC339" s="1" t="s">
        <v>74</v>
      </c>
      <c r="BD339" s="1">
        <v>1789418.0</v>
      </c>
      <c r="BE339" s="1" t="s">
        <v>3639</v>
      </c>
      <c r="BF339" s="2" t="str">
        <f>HYPERLINK("http://dx.doi.org/10.1080/23723556.2020.1789418","http://dx.doi.org/10.1080/23723556.2020.1789418")</f>
        <v>http://dx.doi.org/10.1080/23723556.2020.1789418</v>
      </c>
      <c r="BG339" s="1" t="s">
        <v>74</v>
      </c>
      <c r="BH339" s="1" t="s">
        <v>3640</v>
      </c>
      <c r="BI339" s="1" t="s">
        <v>74</v>
      </c>
      <c r="BJ339" s="1" t="s">
        <v>74</v>
      </c>
      <c r="BK339" s="1" t="s">
        <v>74</v>
      </c>
      <c r="BL339" s="1" t="s">
        <v>74</v>
      </c>
      <c r="BM339" s="1" t="s">
        <v>74</v>
      </c>
      <c r="BN339" s="1">
        <v>3.2944643E7</v>
      </c>
      <c r="BO339" s="1" t="s">
        <v>74</v>
      </c>
      <c r="BP339" s="1" t="s">
        <v>74</v>
      </c>
      <c r="BQ339" s="1" t="s">
        <v>74</v>
      </c>
      <c r="BR339" s="1" t="s">
        <v>74</v>
      </c>
      <c r="BS339" s="1" t="s">
        <v>3641</v>
      </c>
      <c r="BT339" s="1" t="str">
        <f>HYPERLINK("https%3A%2F%2Fwww.webofscience.com%2Fwos%2Fwoscc%2Ffull-record%2FWOS:000556012400001","View Full Record in Web of Science")</f>
        <v>View Full Record in Web of Science</v>
      </c>
    </row>
    <row r="340" ht="12.75" customHeight="1">
      <c r="A340" s="1" t="s">
        <v>72</v>
      </c>
      <c r="B340" s="1" t="s">
        <v>3642</v>
      </c>
      <c r="C340" s="1" t="s">
        <v>74</v>
      </c>
      <c r="D340" s="1" t="s">
        <v>74</v>
      </c>
      <c r="E340" s="1" t="s">
        <v>74</v>
      </c>
      <c r="F340" s="1" t="s">
        <v>3643</v>
      </c>
      <c r="G340" s="1" t="s">
        <v>74</v>
      </c>
      <c r="H340" s="1" t="s">
        <v>74</v>
      </c>
      <c r="I340" s="1" t="s">
        <v>3644</v>
      </c>
      <c r="J340" s="1" t="s">
        <v>136</v>
      </c>
      <c r="K340" s="1" t="s">
        <v>74</v>
      </c>
      <c r="L340" s="1" t="s">
        <v>74</v>
      </c>
      <c r="M340" s="1" t="s">
        <v>74</v>
      </c>
      <c r="N340" s="1" t="s">
        <v>74</v>
      </c>
      <c r="O340" s="1" t="s">
        <v>74</v>
      </c>
      <c r="P340" s="1" t="s">
        <v>74</v>
      </c>
      <c r="Q340" s="1" t="s">
        <v>74</v>
      </c>
      <c r="R340" s="1" t="s">
        <v>74</v>
      </c>
      <c r="S340" s="1" t="s">
        <v>74</v>
      </c>
      <c r="T340" s="1" t="s">
        <v>74</v>
      </c>
      <c r="U340" s="1" t="s">
        <v>74</v>
      </c>
      <c r="V340" s="1" t="s">
        <v>3645</v>
      </c>
      <c r="W340" s="1" t="s">
        <v>74</v>
      </c>
      <c r="X340" s="1" t="s">
        <v>74</v>
      </c>
      <c r="Y340" s="1" t="s">
        <v>74</v>
      </c>
      <c r="Z340" s="1" t="s">
        <v>74</v>
      </c>
      <c r="AA340" s="1" t="s">
        <v>3646</v>
      </c>
      <c r="AB340" s="1" t="s">
        <v>3647</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74</v>
      </c>
      <c r="AP340" s="1" t="s">
        <v>140</v>
      </c>
      <c r="AQ340" s="1" t="s">
        <v>74</v>
      </c>
      <c r="AR340" s="1" t="s">
        <v>74</v>
      </c>
      <c r="AS340" s="1" t="s">
        <v>74</v>
      </c>
      <c r="AT340" s="1" t="s">
        <v>392</v>
      </c>
      <c r="AU340" s="1">
        <v>2020.0</v>
      </c>
      <c r="AV340" s="1">
        <v>9.0</v>
      </c>
      <c r="AW340" s="1">
        <v>4.0</v>
      </c>
      <c r="AX340" s="1" t="s">
        <v>74</v>
      </c>
      <c r="AY340" s="1" t="s">
        <v>74</v>
      </c>
      <c r="AZ340" s="1" t="s">
        <v>74</v>
      </c>
      <c r="BA340" s="1" t="s">
        <v>74</v>
      </c>
      <c r="BB340" s="1" t="s">
        <v>74</v>
      </c>
      <c r="BC340" s="1" t="s">
        <v>74</v>
      </c>
      <c r="BD340" s="1">
        <v>1152.0</v>
      </c>
      <c r="BE340" s="1" t="s">
        <v>3648</v>
      </c>
      <c r="BF340" s="2" t="str">
        <f>HYPERLINK("http://dx.doi.org/10.3390/jcm9041152","http://dx.doi.org/10.3390/jcm9041152")</f>
        <v>http://dx.doi.org/10.3390/jcm9041152</v>
      </c>
      <c r="BG340" s="1" t="s">
        <v>74</v>
      </c>
      <c r="BH340" s="1" t="s">
        <v>74</v>
      </c>
      <c r="BI340" s="1" t="s">
        <v>74</v>
      </c>
      <c r="BJ340" s="1" t="s">
        <v>74</v>
      </c>
      <c r="BK340" s="1" t="s">
        <v>74</v>
      </c>
      <c r="BL340" s="1" t="s">
        <v>74</v>
      </c>
      <c r="BM340" s="1" t="s">
        <v>74</v>
      </c>
      <c r="BN340" s="1">
        <v>3.2316538E7</v>
      </c>
      <c r="BO340" s="1" t="s">
        <v>74</v>
      </c>
      <c r="BP340" s="1" t="s">
        <v>74</v>
      </c>
      <c r="BQ340" s="1" t="s">
        <v>74</v>
      </c>
      <c r="BR340" s="1" t="s">
        <v>74</v>
      </c>
      <c r="BS340" s="1" t="s">
        <v>3649</v>
      </c>
      <c r="BT340" s="1" t="str">
        <f>HYPERLINK("https%3A%2F%2Fwww.webofscience.com%2Fwos%2Fwoscc%2Ffull-record%2FWOS:000531821000259","View Full Record in Web of Science")</f>
        <v>View Full Record in Web of Science</v>
      </c>
    </row>
    <row r="341" ht="12.75" customHeight="1">
      <c r="A341" s="1" t="s">
        <v>72</v>
      </c>
      <c r="B341" s="1" t="s">
        <v>3650</v>
      </c>
      <c r="C341" s="1" t="s">
        <v>74</v>
      </c>
      <c r="D341" s="1" t="s">
        <v>74</v>
      </c>
      <c r="E341" s="1" t="s">
        <v>74</v>
      </c>
      <c r="F341" s="1" t="s">
        <v>3651</v>
      </c>
      <c r="G341" s="1" t="s">
        <v>74</v>
      </c>
      <c r="H341" s="1" t="s">
        <v>74</v>
      </c>
      <c r="I341" s="1" t="s">
        <v>3652</v>
      </c>
      <c r="J341" s="1" t="s">
        <v>3653</v>
      </c>
      <c r="K341" s="1" t="s">
        <v>74</v>
      </c>
      <c r="L341" s="1" t="s">
        <v>74</v>
      </c>
      <c r="M341" s="1" t="s">
        <v>74</v>
      </c>
      <c r="N341" s="1" t="s">
        <v>74</v>
      </c>
      <c r="O341" s="1" t="s">
        <v>74</v>
      </c>
      <c r="P341" s="1" t="s">
        <v>74</v>
      </c>
      <c r="Q341" s="1" t="s">
        <v>74</v>
      </c>
      <c r="R341" s="1" t="s">
        <v>74</v>
      </c>
      <c r="S341" s="1" t="s">
        <v>74</v>
      </c>
      <c r="T341" s="1" t="s">
        <v>74</v>
      </c>
      <c r="U341" s="1" t="s">
        <v>74</v>
      </c>
      <c r="V341" s="1" t="s">
        <v>3654</v>
      </c>
      <c r="W341" s="1" t="s">
        <v>74</v>
      </c>
      <c r="X341" s="1" t="s">
        <v>74</v>
      </c>
      <c r="Y341" s="1" t="s">
        <v>74</v>
      </c>
      <c r="Z341" s="1" t="s">
        <v>74</v>
      </c>
      <c r="AA341" s="1" t="s">
        <v>3655</v>
      </c>
      <c r="AB341" s="1" t="s">
        <v>3656</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3657</v>
      </c>
      <c r="AP341" s="1" t="s">
        <v>3658</v>
      </c>
      <c r="AQ341" s="1" t="s">
        <v>74</v>
      </c>
      <c r="AR341" s="1" t="s">
        <v>74</v>
      </c>
      <c r="AS341" s="1" t="s">
        <v>74</v>
      </c>
      <c r="AT341" s="1" t="s">
        <v>74</v>
      </c>
      <c r="AU341" s="1">
        <v>2014.0</v>
      </c>
      <c r="AV341" s="1">
        <v>67.0</v>
      </c>
      <c r="AW341" s="1" t="s">
        <v>3659</v>
      </c>
      <c r="AX341" s="1" t="s">
        <v>74</v>
      </c>
      <c r="AY341" s="1" t="s">
        <v>74</v>
      </c>
      <c r="AZ341" s="1" t="s">
        <v>448</v>
      </c>
      <c r="BA341" s="1" t="s">
        <v>74</v>
      </c>
      <c r="BB341" s="1">
        <v>3940.0</v>
      </c>
      <c r="BC341" s="1">
        <v>3952.0</v>
      </c>
      <c r="BD341" s="1" t="s">
        <v>74</v>
      </c>
      <c r="BE341" s="1" t="s">
        <v>3660</v>
      </c>
      <c r="BF341" s="2" t="str">
        <f>HYPERLINK("http://dx.doi.org/10.1080/00958972.2014.960407","http://dx.doi.org/10.1080/00958972.2014.960407")</f>
        <v>http://dx.doi.org/10.1080/00958972.2014.960407</v>
      </c>
      <c r="BG341" s="1" t="s">
        <v>74</v>
      </c>
      <c r="BH341" s="1" t="s">
        <v>74</v>
      </c>
      <c r="BI341" s="1" t="s">
        <v>74</v>
      </c>
      <c r="BJ341" s="1" t="s">
        <v>74</v>
      </c>
      <c r="BK341" s="1" t="s">
        <v>74</v>
      </c>
      <c r="BL341" s="1" t="s">
        <v>74</v>
      </c>
      <c r="BM341" s="1" t="s">
        <v>74</v>
      </c>
      <c r="BN341" s="1" t="s">
        <v>74</v>
      </c>
      <c r="BO341" s="1" t="s">
        <v>74</v>
      </c>
      <c r="BP341" s="1" t="s">
        <v>74</v>
      </c>
      <c r="BQ341" s="1" t="s">
        <v>74</v>
      </c>
      <c r="BR341" s="1" t="s">
        <v>74</v>
      </c>
      <c r="BS341" s="1" t="s">
        <v>3661</v>
      </c>
      <c r="BT341" s="1" t="str">
        <f>HYPERLINK("https%3A%2F%2Fwww.webofscience.com%2Fwos%2Fwoscc%2Ffull-record%2FWOS:000345454600016","View Full Record in Web of Science")</f>
        <v>View Full Record in Web of Science</v>
      </c>
    </row>
    <row r="342" ht="12.75" customHeight="1">
      <c r="A342" s="1" t="s">
        <v>72</v>
      </c>
      <c r="B342" s="1" t="s">
        <v>3662</v>
      </c>
      <c r="C342" s="1" t="s">
        <v>74</v>
      </c>
      <c r="D342" s="1" t="s">
        <v>74</v>
      </c>
      <c r="E342" s="1" t="s">
        <v>74</v>
      </c>
      <c r="F342" s="1" t="s">
        <v>3663</v>
      </c>
      <c r="G342" s="1" t="s">
        <v>74</v>
      </c>
      <c r="H342" s="1" t="s">
        <v>74</v>
      </c>
      <c r="I342" s="1" t="s">
        <v>3664</v>
      </c>
      <c r="J342" s="1" t="s">
        <v>3665</v>
      </c>
      <c r="K342" s="1" t="s">
        <v>74</v>
      </c>
      <c r="L342" s="1" t="s">
        <v>74</v>
      </c>
      <c r="M342" s="1" t="s">
        <v>74</v>
      </c>
      <c r="N342" s="1" t="s">
        <v>74</v>
      </c>
      <c r="O342" s="1" t="s">
        <v>74</v>
      </c>
      <c r="P342" s="1" t="s">
        <v>74</v>
      </c>
      <c r="Q342" s="1" t="s">
        <v>74</v>
      </c>
      <c r="R342" s="1" t="s">
        <v>74</v>
      </c>
      <c r="S342" s="1" t="s">
        <v>74</v>
      </c>
      <c r="T342" s="1" t="s">
        <v>74</v>
      </c>
      <c r="U342" s="1" t="s">
        <v>74</v>
      </c>
      <c r="V342" s="1" t="s">
        <v>3666</v>
      </c>
      <c r="W342" s="1" t="s">
        <v>74</v>
      </c>
      <c r="X342" s="1" t="s">
        <v>74</v>
      </c>
      <c r="Y342" s="1" t="s">
        <v>74</v>
      </c>
      <c r="Z342" s="1" t="s">
        <v>74</v>
      </c>
      <c r="AA342" s="1" t="s">
        <v>3667</v>
      </c>
      <c r="AB342" s="1" t="s">
        <v>3668</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74</v>
      </c>
      <c r="AP342" s="1" t="s">
        <v>3669</v>
      </c>
      <c r="AQ342" s="1" t="s">
        <v>74</v>
      </c>
      <c r="AR342" s="1" t="s">
        <v>74</v>
      </c>
      <c r="AS342" s="1" t="s">
        <v>74</v>
      </c>
      <c r="AT342" s="1" t="s">
        <v>3670</v>
      </c>
      <c r="AU342" s="1">
        <v>2025.0</v>
      </c>
      <c r="AV342" s="1">
        <v>5.0</v>
      </c>
      <c r="AW342" s="1">
        <v>1.0</v>
      </c>
      <c r="AX342" s="1" t="s">
        <v>74</v>
      </c>
      <c r="AY342" s="1" t="s">
        <v>74</v>
      </c>
      <c r="AZ342" s="1" t="s">
        <v>74</v>
      </c>
      <c r="BA342" s="1" t="s">
        <v>74</v>
      </c>
      <c r="BB342" s="1" t="s">
        <v>74</v>
      </c>
      <c r="BC342" s="1" t="s">
        <v>74</v>
      </c>
      <c r="BD342" s="1" t="s">
        <v>3671</v>
      </c>
      <c r="BE342" s="1" t="s">
        <v>3672</v>
      </c>
      <c r="BF342" s="2" t="str">
        <f>HYPERLINK("http://dx.doi.org/10.1093/ismeco/ycaf010","http://dx.doi.org/10.1093/ismeco/ycaf010")</f>
        <v>http://dx.doi.org/10.1093/ismeco/ycaf010</v>
      </c>
      <c r="BG342" s="1" t="s">
        <v>74</v>
      </c>
      <c r="BH342" s="1" t="s">
        <v>74</v>
      </c>
      <c r="BI342" s="1" t="s">
        <v>74</v>
      </c>
      <c r="BJ342" s="1" t="s">
        <v>74</v>
      </c>
      <c r="BK342" s="1" t="s">
        <v>74</v>
      </c>
      <c r="BL342" s="1" t="s">
        <v>74</v>
      </c>
      <c r="BM342" s="1" t="s">
        <v>74</v>
      </c>
      <c r="BN342" s="1">
        <v>3.9944239E7</v>
      </c>
      <c r="BO342" s="1" t="s">
        <v>74</v>
      </c>
      <c r="BP342" s="1" t="s">
        <v>74</v>
      </c>
      <c r="BQ342" s="1" t="s">
        <v>74</v>
      </c>
      <c r="BR342" s="1" t="s">
        <v>74</v>
      </c>
      <c r="BS342" s="1" t="s">
        <v>3673</v>
      </c>
      <c r="BT342" s="1" t="str">
        <f>HYPERLINK("https%3A%2F%2Fwww.webofscience.com%2Fwos%2Fwoscc%2Ffull-record%2FWOS:001418253800001","View Full Record in Web of Science")</f>
        <v>View Full Record in Web of Science</v>
      </c>
    </row>
    <row r="343" ht="12.75" customHeight="1">
      <c r="A343" s="1" t="s">
        <v>72</v>
      </c>
      <c r="B343" s="1" t="s">
        <v>3674</v>
      </c>
      <c r="C343" s="1" t="s">
        <v>74</v>
      </c>
      <c r="D343" s="1" t="s">
        <v>74</v>
      </c>
      <c r="E343" s="1" t="s">
        <v>74</v>
      </c>
      <c r="F343" s="1" t="s">
        <v>3675</v>
      </c>
      <c r="G343" s="1" t="s">
        <v>74</v>
      </c>
      <c r="H343" s="1" t="s">
        <v>74</v>
      </c>
      <c r="I343" s="1" t="s">
        <v>3676</v>
      </c>
      <c r="J343" s="1" t="s">
        <v>2255</v>
      </c>
      <c r="K343" s="1" t="s">
        <v>74</v>
      </c>
      <c r="L343" s="1" t="s">
        <v>74</v>
      </c>
      <c r="M343" s="1" t="s">
        <v>74</v>
      </c>
      <c r="N343" s="1" t="s">
        <v>74</v>
      </c>
      <c r="O343" s="1" t="s">
        <v>74</v>
      </c>
      <c r="P343" s="1" t="s">
        <v>74</v>
      </c>
      <c r="Q343" s="1" t="s">
        <v>74</v>
      </c>
      <c r="R343" s="1" t="s">
        <v>74</v>
      </c>
      <c r="S343" s="1" t="s">
        <v>74</v>
      </c>
      <c r="T343" s="1" t="s">
        <v>74</v>
      </c>
      <c r="U343" s="1" t="s">
        <v>74</v>
      </c>
      <c r="V343" s="1" t="s">
        <v>3677</v>
      </c>
      <c r="W343" s="1" t="s">
        <v>74</v>
      </c>
      <c r="X343" s="1" t="s">
        <v>74</v>
      </c>
      <c r="Y343" s="1" t="s">
        <v>74</v>
      </c>
      <c r="Z343" s="1" t="s">
        <v>74</v>
      </c>
      <c r="AA343" s="1" t="s">
        <v>3678</v>
      </c>
      <c r="AB343" s="1" t="s">
        <v>2825</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2259</v>
      </c>
      <c r="AP343" s="1" t="s">
        <v>2260</v>
      </c>
      <c r="AQ343" s="1" t="s">
        <v>74</v>
      </c>
      <c r="AR343" s="1" t="s">
        <v>74</v>
      </c>
      <c r="AS343" s="1" t="s">
        <v>74</v>
      </c>
      <c r="AT343" s="1" t="s">
        <v>2289</v>
      </c>
      <c r="AU343" s="1">
        <v>2024.0</v>
      </c>
      <c r="AV343" s="1">
        <v>50.0</v>
      </c>
      <c r="AW343" s="1">
        <v>21.0</v>
      </c>
      <c r="AX343" s="1" t="s">
        <v>3679</v>
      </c>
      <c r="AY343" s="1" t="s">
        <v>74</v>
      </c>
      <c r="AZ343" s="1" t="s">
        <v>74</v>
      </c>
      <c r="BA343" s="1" t="s">
        <v>74</v>
      </c>
      <c r="BB343" s="1">
        <v>41614.0</v>
      </c>
      <c r="BC343" s="1">
        <v>41627.0</v>
      </c>
      <c r="BD343" s="1" t="s">
        <v>74</v>
      </c>
      <c r="BE343" s="1" t="s">
        <v>3680</v>
      </c>
      <c r="BF343" s="2" t="str">
        <f>HYPERLINK("http://dx.doi.org/10.1016/j.ceramint.2024.08.011","http://dx.doi.org/10.1016/j.ceramint.2024.08.011")</f>
        <v>http://dx.doi.org/10.1016/j.ceramint.2024.08.011</v>
      </c>
      <c r="BG343" s="1" t="s">
        <v>74</v>
      </c>
      <c r="BH343" s="1" t="s">
        <v>428</v>
      </c>
      <c r="BI343" s="1" t="s">
        <v>74</v>
      </c>
      <c r="BJ343" s="1" t="s">
        <v>74</v>
      </c>
      <c r="BK343" s="1" t="s">
        <v>74</v>
      </c>
      <c r="BL343" s="1" t="s">
        <v>74</v>
      </c>
      <c r="BM343" s="1" t="s">
        <v>74</v>
      </c>
      <c r="BN343" s="1" t="s">
        <v>74</v>
      </c>
      <c r="BO343" s="1" t="s">
        <v>74</v>
      </c>
      <c r="BP343" s="1" t="s">
        <v>74</v>
      </c>
      <c r="BQ343" s="1" t="s">
        <v>74</v>
      </c>
      <c r="BR343" s="1" t="s">
        <v>74</v>
      </c>
      <c r="BS343" s="1" t="s">
        <v>3681</v>
      </c>
      <c r="BT343" s="1" t="str">
        <f>HYPERLINK("https%3A%2F%2Fwww.webofscience.com%2Fwos%2Fwoscc%2Ffull-record%2FWOS:001328253900001","View Full Record in Web of Science")</f>
        <v>View Full Record in Web of Science</v>
      </c>
    </row>
    <row r="344" ht="12.75" customHeight="1">
      <c r="A344" s="1" t="s">
        <v>72</v>
      </c>
      <c r="B344" s="1" t="s">
        <v>3682</v>
      </c>
      <c r="C344" s="1" t="s">
        <v>74</v>
      </c>
      <c r="D344" s="1" t="s">
        <v>74</v>
      </c>
      <c r="E344" s="1" t="s">
        <v>74</v>
      </c>
      <c r="F344" s="1" t="s">
        <v>3683</v>
      </c>
      <c r="G344" s="1" t="s">
        <v>74</v>
      </c>
      <c r="H344" s="1" t="s">
        <v>74</v>
      </c>
      <c r="I344" s="1" t="s">
        <v>3684</v>
      </c>
      <c r="J344" s="1" t="s">
        <v>3685</v>
      </c>
      <c r="K344" s="1" t="s">
        <v>74</v>
      </c>
      <c r="L344" s="1" t="s">
        <v>74</v>
      </c>
      <c r="M344" s="1" t="s">
        <v>74</v>
      </c>
      <c r="N344" s="1" t="s">
        <v>74</v>
      </c>
      <c r="O344" s="1" t="s">
        <v>74</v>
      </c>
      <c r="P344" s="1" t="s">
        <v>74</v>
      </c>
      <c r="Q344" s="1" t="s">
        <v>74</v>
      </c>
      <c r="R344" s="1" t="s">
        <v>74</v>
      </c>
      <c r="S344" s="1" t="s">
        <v>74</v>
      </c>
      <c r="T344" s="1" t="s">
        <v>74</v>
      </c>
      <c r="U344" s="1" t="s">
        <v>74</v>
      </c>
      <c r="V344" s="1" t="s">
        <v>3686</v>
      </c>
      <c r="W344" s="1" t="s">
        <v>74</v>
      </c>
      <c r="X344" s="1" t="s">
        <v>74</v>
      </c>
      <c r="Y344" s="1" t="s">
        <v>74</v>
      </c>
      <c r="Z344" s="1" t="s">
        <v>74</v>
      </c>
      <c r="AA344" s="1" t="s">
        <v>3687</v>
      </c>
      <c r="AB344" s="1" t="s">
        <v>3688</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3689</v>
      </c>
      <c r="AP344" s="1" t="s">
        <v>3690</v>
      </c>
      <c r="AQ344" s="1" t="s">
        <v>74</v>
      </c>
      <c r="AR344" s="1" t="s">
        <v>74</v>
      </c>
      <c r="AS344" s="1" t="s">
        <v>74</v>
      </c>
      <c r="AT344" s="1" t="s">
        <v>447</v>
      </c>
      <c r="AU344" s="1">
        <v>2023.0</v>
      </c>
      <c r="AV344" s="1">
        <v>16.0</v>
      </c>
      <c r="AW344" s="1">
        <v>10.0</v>
      </c>
      <c r="AX344" s="1" t="s">
        <v>74</v>
      </c>
      <c r="AY344" s="1" t="s">
        <v>74</v>
      </c>
      <c r="AZ344" s="1" t="s">
        <v>448</v>
      </c>
      <c r="BA344" s="1" t="s">
        <v>74</v>
      </c>
      <c r="BB344" s="1">
        <v>1703.0</v>
      </c>
      <c r="BC344" s="1">
        <v>1716.0</v>
      </c>
      <c r="BD344" s="1" t="s">
        <v>74</v>
      </c>
      <c r="BE344" s="1" t="s">
        <v>3691</v>
      </c>
      <c r="BF344" s="2" t="str">
        <f>HYPERLINK("http://dx.doi.org/10.1049/pel2.12458","http://dx.doi.org/10.1049/pel2.12458")</f>
        <v>http://dx.doi.org/10.1049/pel2.12458</v>
      </c>
      <c r="BG344" s="1" t="s">
        <v>74</v>
      </c>
      <c r="BH344" s="1" t="s">
        <v>3620</v>
      </c>
      <c r="BI344" s="1" t="s">
        <v>74</v>
      </c>
      <c r="BJ344" s="1" t="s">
        <v>74</v>
      </c>
      <c r="BK344" s="1" t="s">
        <v>74</v>
      </c>
      <c r="BL344" s="1" t="s">
        <v>74</v>
      </c>
      <c r="BM344" s="1" t="s">
        <v>74</v>
      </c>
      <c r="BN344" s="1" t="s">
        <v>74</v>
      </c>
      <c r="BO344" s="1" t="s">
        <v>74</v>
      </c>
      <c r="BP344" s="1" t="s">
        <v>74</v>
      </c>
      <c r="BQ344" s="1" t="s">
        <v>74</v>
      </c>
      <c r="BR344" s="1" t="s">
        <v>74</v>
      </c>
      <c r="BS344" s="1" t="s">
        <v>3692</v>
      </c>
      <c r="BT344" s="1" t="str">
        <f>HYPERLINK("https%3A%2F%2Fwww.webofscience.com%2Fwos%2Fwoscc%2Ffull-record%2FWOS:000932204700001","View Full Record in Web of Science")</f>
        <v>View Full Record in Web of Science</v>
      </c>
    </row>
    <row r="345" ht="12.75" customHeight="1">
      <c r="A345" s="1" t="s">
        <v>72</v>
      </c>
      <c r="B345" s="1" t="s">
        <v>3693</v>
      </c>
      <c r="C345" s="1" t="s">
        <v>74</v>
      </c>
      <c r="D345" s="1" t="s">
        <v>74</v>
      </c>
      <c r="E345" s="1" t="s">
        <v>74</v>
      </c>
      <c r="F345" s="1" t="s">
        <v>3694</v>
      </c>
      <c r="G345" s="1" t="s">
        <v>74</v>
      </c>
      <c r="H345" s="1" t="s">
        <v>74</v>
      </c>
      <c r="I345" s="1" t="s">
        <v>3695</v>
      </c>
      <c r="J345" s="1" t="s">
        <v>1121</v>
      </c>
      <c r="K345" s="1" t="s">
        <v>74</v>
      </c>
      <c r="L345" s="1" t="s">
        <v>74</v>
      </c>
      <c r="M345" s="1" t="s">
        <v>74</v>
      </c>
      <c r="N345" s="1" t="s">
        <v>74</v>
      </c>
      <c r="O345" s="1" t="s">
        <v>74</v>
      </c>
      <c r="P345" s="1" t="s">
        <v>74</v>
      </c>
      <c r="Q345" s="1" t="s">
        <v>74</v>
      </c>
      <c r="R345" s="1" t="s">
        <v>74</v>
      </c>
      <c r="S345" s="1" t="s">
        <v>74</v>
      </c>
      <c r="T345" s="1" t="s">
        <v>74</v>
      </c>
      <c r="U345" s="1" t="s">
        <v>74</v>
      </c>
      <c r="V345" s="1" t="s">
        <v>3696</v>
      </c>
      <c r="W345" s="1" t="s">
        <v>74</v>
      </c>
      <c r="X345" s="1" t="s">
        <v>74</v>
      </c>
      <c r="Y345" s="1" t="s">
        <v>74</v>
      </c>
      <c r="Z345" s="1" t="s">
        <v>74</v>
      </c>
      <c r="AA345" s="1" t="s">
        <v>3697</v>
      </c>
      <c r="AB345" s="1" t="s">
        <v>3698</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74</v>
      </c>
      <c r="AP345" s="1" t="s">
        <v>1125</v>
      </c>
      <c r="AQ345" s="1" t="s">
        <v>74</v>
      </c>
      <c r="AR345" s="1" t="s">
        <v>74</v>
      </c>
      <c r="AS345" s="1" t="s">
        <v>74</v>
      </c>
      <c r="AT345" s="1" t="s">
        <v>3699</v>
      </c>
      <c r="AU345" s="1">
        <v>2022.0</v>
      </c>
      <c r="AV345" s="1">
        <v>13.0</v>
      </c>
      <c r="AW345" s="1" t="s">
        <v>74</v>
      </c>
      <c r="AX345" s="1" t="s">
        <v>74</v>
      </c>
      <c r="AY345" s="1" t="s">
        <v>74</v>
      </c>
      <c r="AZ345" s="1" t="s">
        <v>74</v>
      </c>
      <c r="BA345" s="1" t="s">
        <v>74</v>
      </c>
      <c r="BB345" s="1" t="s">
        <v>74</v>
      </c>
      <c r="BC345" s="1" t="s">
        <v>74</v>
      </c>
      <c r="BD345" s="1">
        <v>931325.0</v>
      </c>
      <c r="BE345" s="1" t="s">
        <v>3700</v>
      </c>
      <c r="BF345" s="2" t="str">
        <f>HYPERLINK("http://dx.doi.org/10.3389/fphys.2022.931325","http://dx.doi.org/10.3389/fphys.2022.931325")</f>
        <v>http://dx.doi.org/10.3389/fphys.2022.931325</v>
      </c>
      <c r="BG345" s="1" t="s">
        <v>74</v>
      </c>
      <c r="BH345" s="1" t="s">
        <v>74</v>
      </c>
      <c r="BI345" s="1" t="s">
        <v>74</v>
      </c>
      <c r="BJ345" s="1" t="s">
        <v>74</v>
      </c>
      <c r="BK345" s="1" t="s">
        <v>74</v>
      </c>
      <c r="BL345" s="1" t="s">
        <v>74</v>
      </c>
      <c r="BM345" s="1" t="s">
        <v>74</v>
      </c>
      <c r="BN345" s="1">
        <v>3.6311238E7</v>
      </c>
      <c r="BO345" s="1" t="s">
        <v>74</v>
      </c>
      <c r="BP345" s="1" t="s">
        <v>74</v>
      </c>
      <c r="BQ345" s="1" t="s">
        <v>74</v>
      </c>
      <c r="BR345" s="1" t="s">
        <v>74</v>
      </c>
      <c r="BS345" s="1" t="s">
        <v>3701</v>
      </c>
      <c r="BT345" s="1" t="str">
        <f>HYPERLINK("https%3A%2F%2Fwww.webofscience.com%2Fwos%2Fwoscc%2Ffull-record%2FWOS:000877829300001","View Full Record in Web of Science")</f>
        <v>View Full Record in Web of Science</v>
      </c>
    </row>
    <row r="346" ht="12.75" customHeight="1">
      <c r="A346" s="1" t="s">
        <v>72</v>
      </c>
      <c r="B346" s="1" t="s">
        <v>3702</v>
      </c>
      <c r="C346" s="1" t="s">
        <v>74</v>
      </c>
      <c r="D346" s="1" t="s">
        <v>74</v>
      </c>
      <c r="E346" s="1" t="s">
        <v>74</v>
      </c>
      <c r="F346" s="1" t="s">
        <v>3703</v>
      </c>
      <c r="G346" s="1" t="s">
        <v>74</v>
      </c>
      <c r="H346" s="1" t="s">
        <v>74</v>
      </c>
      <c r="I346" s="1" t="s">
        <v>3704</v>
      </c>
      <c r="J346" s="1" t="s">
        <v>1024</v>
      </c>
      <c r="K346" s="1" t="s">
        <v>74</v>
      </c>
      <c r="L346" s="1" t="s">
        <v>74</v>
      </c>
      <c r="M346" s="1" t="s">
        <v>74</v>
      </c>
      <c r="N346" s="1" t="s">
        <v>74</v>
      </c>
      <c r="O346" s="1" t="s">
        <v>74</v>
      </c>
      <c r="P346" s="1" t="s">
        <v>74</v>
      </c>
      <c r="Q346" s="1" t="s">
        <v>74</v>
      </c>
      <c r="R346" s="1" t="s">
        <v>74</v>
      </c>
      <c r="S346" s="1" t="s">
        <v>74</v>
      </c>
      <c r="T346" s="1" t="s">
        <v>74</v>
      </c>
      <c r="U346" s="1" t="s">
        <v>74</v>
      </c>
      <c r="V346" s="1" t="s">
        <v>3705</v>
      </c>
      <c r="W346" s="1" t="s">
        <v>74</v>
      </c>
      <c r="X346" s="1" t="s">
        <v>74</v>
      </c>
      <c r="Y346" s="1" t="s">
        <v>74</v>
      </c>
      <c r="Z346" s="1" t="s">
        <v>74</v>
      </c>
      <c r="AA346" s="1" t="s">
        <v>3706</v>
      </c>
      <c r="AB346" s="1" t="s">
        <v>3707</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1028</v>
      </c>
      <c r="AP346" s="1" t="s">
        <v>1029</v>
      </c>
      <c r="AQ346" s="1" t="s">
        <v>74</v>
      </c>
      <c r="AR346" s="1" t="s">
        <v>74</v>
      </c>
      <c r="AS346" s="1" t="s">
        <v>74</v>
      </c>
      <c r="AT346" s="1" t="s">
        <v>3708</v>
      </c>
      <c r="AU346" s="1">
        <v>2022.0</v>
      </c>
      <c r="AV346" s="1">
        <v>511.0</v>
      </c>
      <c r="AW346" s="1">
        <v>1.0</v>
      </c>
      <c r="AX346" s="1" t="s">
        <v>74</v>
      </c>
      <c r="AY346" s="1" t="s">
        <v>74</v>
      </c>
      <c r="AZ346" s="1" t="s">
        <v>74</v>
      </c>
      <c r="BA346" s="1" t="s">
        <v>74</v>
      </c>
      <c r="BB346" s="1">
        <v>732.0</v>
      </c>
      <c r="BC346" s="1">
        <v>745.0</v>
      </c>
      <c r="BD346" s="1" t="s">
        <v>74</v>
      </c>
      <c r="BE346" s="1" t="s">
        <v>3709</v>
      </c>
      <c r="BF346" s="2" t="str">
        <f>HYPERLINK("http://dx.doi.org/10.1093/mnras/stac102","http://dx.doi.org/10.1093/mnras/stac102")</f>
        <v>http://dx.doi.org/10.1093/mnras/stac102</v>
      </c>
      <c r="BG346" s="1" t="s">
        <v>74</v>
      </c>
      <c r="BH346" s="1" t="s">
        <v>74</v>
      </c>
      <c r="BI346" s="1" t="s">
        <v>74</v>
      </c>
      <c r="BJ346" s="1" t="s">
        <v>74</v>
      </c>
      <c r="BK346" s="1" t="s">
        <v>74</v>
      </c>
      <c r="BL346" s="1" t="s">
        <v>74</v>
      </c>
      <c r="BM346" s="1" t="s">
        <v>74</v>
      </c>
      <c r="BN346" s="1" t="s">
        <v>74</v>
      </c>
      <c r="BO346" s="1" t="s">
        <v>74</v>
      </c>
      <c r="BP346" s="1" t="s">
        <v>74</v>
      </c>
      <c r="BQ346" s="1" t="s">
        <v>74</v>
      </c>
      <c r="BR346" s="1" t="s">
        <v>74</v>
      </c>
      <c r="BS346" s="1" t="s">
        <v>3710</v>
      </c>
      <c r="BT346" s="1" t="str">
        <f>HYPERLINK("https%3A%2F%2Fwww.webofscience.com%2Fwos%2Fwoscc%2Ffull-record%2FWOS:000770033800019","View Full Record in Web of Science")</f>
        <v>View Full Record in Web of Science</v>
      </c>
    </row>
    <row r="347" ht="12.75" customHeight="1">
      <c r="A347" s="1" t="s">
        <v>72</v>
      </c>
      <c r="B347" s="1" t="s">
        <v>3711</v>
      </c>
      <c r="C347" s="1" t="s">
        <v>74</v>
      </c>
      <c r="D347" s="1" t="s">
        <v>74</v>
      </c>
      <c r="E347" s="1" t="s">
        <v>74</v>
      </c>
      <c r="F347" s="1" t="s">
        <v>3712</v>
      </c>
      <c r="G347" s="1" t="s">
        <v>74</v>
      </c>
      <c r="H347" s="1" t="s">
        <v>74</v>
      </c>
      <c r="I347" s="1" t="s">
        <v>3713</v>
      </c>
      <c r="J347" s="1" t="s">
        <v>515</v>
      </c>
      <c r="K347" s="1" t="s">
        <v>74</v>
      </c>
      <c r="L347" s="1" t="s">
        <v>74</v>
      </c>
      <c r="M347" s="1" t="s">
        <v>74</v>
      </c>
      <c r="N347" s="1" t="s">
        <v>74</v>
      </c>
      <c r="O347" s="1" t="s">
        <v>74</v>
      </c>
      <c r="P347" s="1" t="s">
        <v>74</v>
      </c>
      <c r="Q347" s="1" t="s">
        <v>74</v>
      </c>
      <c r="R347" s="1" t="s">
        <v>74</v>
      </c>
      <c r="S347" s="1" t="s">
        <v>74</v>
      </c>
      <c r="T347" s="1" t="s">
        <v>74</v>
      </c>
      <c r="U347" s="1" t="s">
        <v>74</v>
      </c>
      <c r="V347" s="1" t="s">
        <v>3714</v>
      </c>
      <c r="W347" s="1" t="s">
        <v>74</v>
      </c>
      <c r="X347" s="1" t="s">
        <v>74</v>
      </c>
      <c r="Y347" s="1" t="s">
        <v>74</v>
      </c>
      <c r="Z347" s="1" t="s">
        <v>74</v>
      </c>
      <c r="AA347" s="1" t="s">
        <v>3715</v>
      </c>
      <c r="AB347" s="1" t="s">
        <v>3716</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3717</v>
      </c>
      <c r="AP347" s="1" t="s">
        <v>519</v>
      </c>
      <c r="AQ347" s="1" t="s">
        <v>74</v>
      </c>
      <c r="AR347" s="1" t="s">
        <v>74</v>
      </c>
      <c r="AS347" s="1" t="s">
        <v>74</v>
      </c>
      <c r="AT347" s="1" t="s">
        <v>3718</v>
      </c>
      <c r="AU347" s="1">
        <v>2019.0</v>
      </c>
      <c r="AV347" s="1">
        <v>20.0</v>
      </c>
      <c r="AW347" s="1">
        <v>16.0</v>
      </c>
      <c r="AX347" s="1" t="s">
        <v>74</v>
      </c>
      <c r="AY347" s="1" t="s">
        <v>74</v>
      </c>
      <c r="AZ347" s="1" t="s">
        <v>74</v>
      </c>
      <c r="BA347" s="1" t="s">
        <v>74</v>
      </c>
      <c r="BB347" s="1" t="s">
        <v>74</v>
      </c>
      <c r="BC347" s="1" t="s">
        <v>74</v>
      </c>
      <c r="BD347" s="1">
        <v>4014.0</v>
      </c>
      <c r="BE347" s="1" t="s">
        <v>3719</v>
      </c>
      <c r="BF347" s="2" t="str">
        <f>HYPERLINK("http://dx.doi.org/10.3390/ijms20164014","http://dx.doi.org/10.3390/ijms20164014")</f>
        <v>http://dx.doi.org/10.3390/ijms20164014</v>
      </c>
      <c r="BG347" s="1" t="s">
        <v>74</v>
      </c>
      <c r="BH347" s="1" t="s">
        <v>74</v>
      </c>
      <c r="BI347" s="1" t="s">
        <v>74</v>
      </c>
      <c r="BJ347" s="1" t="s">
        <v>74</v>
      </c>
      <c r="BK347" s="1" t="s">
        <v>74</v>
      </c>
      <c r="BL347" s="1" t="s">
        <v>74</v>
      </c>
      <c r="BM347" s="1" t="s">
        <v>74</v>
      </c>
      <c r="BN347" s="1">
        <v>3.1426491E7</v>
      </c>
      <c r="BO347" s="1" t="s">
        <v>74</v>
      </c>
      <c r="BP347" s="1" t="s">
        <v>74</v>
      </c>
      <c r="BQ347" s="1" t="s">
        <v>74</v>
      </c>
      <c r="BR347" s="1" t="s">
        <v>74</v>
      </c>
      <c r="BS347" s="1" t="s">
        <v>3720</v>
      </c>
      <c r="BT347" s="1" t="str">
        <f>HYPERLINK("https%3A%2F%2Fwww.webofscience.com%2Fwos%2Fwoscc%2Ffull-record%2FWOS:000484411100171","View Full Record in Web of Science")</f>
        <v>View Full Record in Web of Science</v>
      </c>
    </row>
    <row r="348" ht="12.75" customHeight="1">
      <c r="A348" s="1" t="s">
        <v>72</v>
      </c>
      <c r="B348" s="1" t="s">
        <v>3721</v>
      </c>
      <c r="C348" s="1" t="s">
        <v>74</v>
      </c>
      <c r="D348" s="1" t="s">
        <v>74</v>
      </c>
      <c r="E348" s="1" t="s">
        <v>74</v>
      </c>
      <c r="F348" s="1" t="s">
        <v>3722</v>
      </c>
      <c r="G348" s="1" t="s">
        <v>74</v>
      </c>
      <c r="H348" s="1" t="s">
        <v>74</v>
      </c>
      <c r="I348" s="1" t="s">
        <v>3723</v>
      </c>
      <c r="J348" s="1" t="s">
        <v>3724</v>
      </c>
      <c r="K348" s="1" t="s">
        <v>74</v>
      </c>
      <c r="L348" s="1" t="s">
        <v>74</v>
      </c>
      <c r="M348" s="1" t="s">
        <v>74</v>
      </c>
      <c r="N348" s="1" t="s">
        <v>74</v>
      </c>
      <c r="O348" s="1" t="s">
        <v>74</v>
      </c>
      <c r="P348" s="1" t="s">
        <v>74</v>
      </c>
      <c r="Q348" s="1" t="s">
        <v>74</v>
      </c>
      <c r="R348" s="1" t="s">
        <v>74</v>
      </c>
      <c r="S348" s="1" t="s">
        <v>74</v>
      </c>
      <c r="T348" s="1" t="s">
        <v>74</v>
      </c>
      <c r="U348" s="1" t="s">
        <v>74</v>
      </c>
      <c r="V348" s="1" t="s">
        <v>3725</v>
      </c>
      <c r="W348" s="1" t="s">
        <v>74</v>
      </c>
      <c r="X348" s="1" t="s">
        <v>74</v>
      </c>
      <c r="Y348" s="1" t="s">
        <v>74</v>
      </c>
      <c r="Z348" s="1" t="s">
        <v>74</v>
      </c>
      <c r="AA348" s="1" t="s">
        <v>3726</v>
      </c>
      <c r="AB348" s="1" t="s">
        <v>3727</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3728</v>
      </c>
      <c r="AP348" s="1" t="s">
        <v>3729</v>
      </c>
      <c r="AQ348" s="1" t="s">
        <v>74</v>
      </c>
      <c r="AR348" s="1" t="s">
        <v>74</v>
      </c>
      <c r="AS348" s="1" t="s">
        <v>74</v>
      </c>
      <c r="AT348" s="1" t="s">
        <v>74</v>
      </c>
      <c r="AU348" s="1">
        <v>2014.0</v>
      </c>
      <c r="AV348" s="1">
        <v>4.0</v>
      </c>
      <c r="AW348" s="1">
        <v>4.0</v>
      </c>
      <c r="AX348" s="1" t="s">
        <v>74</v>
      </c>
      <c r="AY348" s="1" t="s">
        <v>74</v>
      </c>
      <c r="AZ348" s="1" t="s">
        <v>74</v>
      </c>
      <c r="BA348" s="1" t="s">
        <v>74</v>
      </c>
      <c r="BB348" s="1">
        <v>693.0</v>
      </c>
      <c r="BC348" s="1">
        <v>698.0</v>
      </c>
      <c r="BD348" s="1" t="s">
        <v>74</v>
      </c>
      <c r="BE348" s="1" t="s">
        <v>3730</v>
      </c>
      <c r="BF348" s="2" t="str">
        <f>HYPERLINK("http://dx.doi.org/10.3233/JPD-140434","http://dx.doi.org/10.3233/JPD-140434")</f>
        <v>http://dx.doi.org/10.3233/JPD-140434</v>
      </c>
      <c r="BG348" s="1" t="s">
        <v>74</v>
      </c>
      <c r="BH348" s="1" t="s">
        <v>74</v>
      </c>
      <c r="BI348" s="1" t="s">
        <v>74</v>
      </c>
      <c r="BJ348" s="1" t="s">
        <v>74</v>
      </c>
      <c r="BK348" s="1" t="s">
        <v>74</v>
      </c>
      <c r="BL348" s="1" t="s">
        <v>74</v>
      </c>
      <c r="BM348" s="1" t="s">
        <v>74</v>
      </c>
      <c r="BN348" s="1">
        <v>2.5213997E7</v>
      </c>
      <c r="BO348" s="1" t="s">
        <v>74</v>
      </c>
      <c r="BP348" s="1" t="s">
        <v>74</v>
      </c>
      <c r="BQ348" s="1" t="s">
        <v>74</v>
      </c>
      <c r="BR348" s="1" t="s">
        <v>74</v>
      </c>
      <c r="BS348" s="1" t="s">
        <v>3731</v>
      </c>
      <c r="BT348" s="1" t="str">
        <f>HYPERLINK("https%3A%2F%2Fwww.webofscience.com%2Fwos%2Fwoscc%2Ffull-record%2FWOS:000345855800020","View Full Record in Web of Science")</f>
        <v>View Full Record in Web of Science</v>
      </c>
    </row>
    <row r="349" ht="12.75" customHeight="1">
      <c r="A349" s="1" t="s">
        <v>72</v>
      </c>
      <c r="B349" s="1" t="s">
        <v>3732</v>
      </c>
      <c r="C349" s="1" t="s">
        <v>74</v>
      </c>
      <c r="D349" s="1" t="s">
        <v>74</v>
      </c>
      <c r="E349" s="1" t="s">
        <v>74</v>
      </c>
      <c r="F349" s="1" t="s">
        <v>3733</v>
      </c>
      <c r="G349" s="1" t="s">
        <v>74</v>
      </c>
      <c r="H349" s="1" t="s">
        <v>74</v>
      </c>
      <c r="I349" s="1" t="s">
        <v>3734</v>
      </c>
      <c r="J349" s="1" t="s">
        <v>2379</v>
      </c>
      <c r="K349" s="1" t="s">
        <v>74</v>
      </c>
      <c r="L349" s="1" t="s">
        <v>74</v>
      </c>
      <c r="M349" s="1" t="s">
        <v>74</v>
      </c>
      <c r="N349" s="1" t="s">
        <v>74</v>
      </c>
      <c r="O349" s="1" t="s">
        <v>74</v>
      </c>
      <c r="P349" s="1" t="s">
        <v>74</v>
      </c>
      <c r="Q349" s="1" t="s">
        <v>74</v>
      </c>
      <c r="R349" s="1" t="s">
        <v>74</v>
      </c>
      <c r="S349" s="1" t="s">
        <v>74</v>
      </c>
      <c r="T349" s="1" t="s">
        <v>74</v>
      </c>
      <c r="U349" s="1" t="s">
        <v>74</v>
      </c>
      <c r="V349" s="1" t="s">
        <v>3735</v>
      </c>
      <c r="W349" s="1" t="s">
        <v>74</v>
      </c>
      <c r="X349" s="1" t="s">
        <v>74</v>
      </c>
      <c r="Y349" s="1" t="s">
        <v>74</v>
      </c>
      <c r="Z349" s="1" t="s">
        <v>74</v>
      </c>
      <c r="AA349" s="1" t="s">
        <v>3736</v>
      </c>
      <c r="AB349" s="1" t="s">
        <v>3737</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2383</v>
      </c>
      <c r="AP349" s="1" t="s">
        <v>2384</v>
      </c>
      <c r="AQ349" s="1" t="s">
        <v>74</v>
      </c>
      <c r="AR349" s="1" t="s">
        <v>74</v>
      </c>
      <c r="AS349" s="1" t="s">
        <v>74</v>
      </c>
      <c r="AT349" s="1" t="s">
        <v>74</v>
      </c>
      <c r="AU349" s="1">
        <v>2007.0</v>
      </c>
      <c r="AV349" s="1" t="s">
        <v>74</v>
      </c>
      <c r="AW349" s="1">
        <v>46.0</v>
      </c>
      <c r="AX349" s="1" t="s">
        <v>74</v>
      </c>
      <c r="AY349" s="1" t="s">
        <v>74</v>
      </c>
      <c r="AZ349" s="1" t="s">
        <v>74</v>
      </c>
      <c r="BA349" s="1" t="s">
        <v>74</v>
      </c>
      <c r="BB349" s="1">
        <v>5419.0</v>
      </c>
      <c r="BC349" s="1">
        <v>5426.0</v>
      </c>
      <c r="BD349" s="1" t="s">
        <v>74</v>
      </c>
      <c r="BE349" s="1" t="s">
        <v>3738</v>
      </c>
      <c r="BF349" s="2" t="str">
        <f>HYPERLINK("http://dx.doi.org/10.1039/b704615b","http://dx.doi.org/10.1039/b704615b")</f>
        <v>http://dx.doi.org/10.1039/b704615b</v>
      </c>
      <c r="BG349" s="1" t="s">
        <v>74</v>
      </c>
      <c r="BH349" s="1" t="s">
        <v>74</v>
      </c>
      <c r="BI349" s="1" t="s">
        <v>74</v>
      </c>
      <c r="BJ349" s="1" t="s">
        <v>74</v>
      </c>
      <c r="BK349" s="1" t="s">
        <v>74</v>
      </c>
      <c r="BL349" s="1" t="s">
        <v>74</v>
      </c>
      <c r="BM349" s="1" t="s">
        <v>74</v>
      </c>
      <c r="BN349" s="1">
        <v>1.8026591E7</v>
      </c>
      <c r="BO349" s="1" t="s">
        <v>74</v>
      </c>
      <c r="BP349" s="1" t="s">
        <v>74</v>
      </c>
      <c r="BQ349" s="1" t="s">
        <v>74</v>
      </c>
      <c r="BR349" s="1" t="s">
        <v>74</v>
      </c>
      <c r="BS349" s="1" t="s">
        <v>3739</v>
      </c>
      <c r="BT349" s="1" t="str">
        <f>HYPERLINK("https%3A%2F%2Fwww.webofscience.com%2Fwos%2Fwoscc%2Ffull-record%2FWOS:000251120300009","View Full Record in Web of Science")</f>
        <v>View Full Record in Web of Science</v>
      </c>
    </row>
    <row r="350" ht="12.75" customHeight="1">
      <c r="A350" s="1" t="s">
        <v>72</v>
      </c>
      <c r="B350" s="1" t="s">
        <v>3740</v>
      </c>
      <c r="C350" s="1" t="s">
        <v>74</v>
      </c>
      <c r="D350" s="1" t="s">
        <v>74</v>
      </c>
      <c r="E350" s="1" t="s">
        <v>74</v>
      </c>
      <c r="F350" s="1" t="s">
        <v>3740</v>
      </c>
      <c r="G350" s="1" t="s">
        <v>74</v>
      </c>
      <c r="H350" s="1" t="s">
        <v>74</v>
      </c>
      <c r="I350" s="1" t="s">
        <v>3741</v>
      </c>
      <c r="J350" s="1" t="s">
        <v>3742</v>
      </c>
      <c r="K350" s="1" t="s">
        <v>74</v>
      </c>
      <c r="L350" s="1" t="s">
        <v>74</v>
      </c>
      <c r="M350" s="1" t="s">
        <v>74</v>
      </c>
      <c r="N350" s="1" t="s">
        <v>74</v>
      </c>
      <c r="O350" s="1" t="s">
        <v>74</v>
      </c>
      <c r="P350" s="1" t="s">
        <v>74</v>
      </c>
      <c r="Q350" s="1" t="s">
        <v>74</v>
      </c>
      <c r="R350" s="1" t="s">
        <v>74</v>
      </c>
      <c r="S350" s="1" t="s">
        <v>74</v>
      </c>
      <c r="T350" s="1" t="s">
        <v>74</v>
      </c>
      <c r="U350" s="1" t="s">
        <v>74</v>
      </c>
      <c r="V350" s="1" t="s">
        <v>3743</v>
      </c>
      <c r="W350" s="1" t="s">
        <v>74</v>
      </c>
      <c r="X350" s="1" t="s">
        <v>74</v>
      </c>
      <c r="Y350" s="1" t="s">
        <v>74</v>
      </c>
      <c r="Z350" s="1" t="s">
        <v>74</v>
      </c>
      <c r="AA350" s="1" t="s">
        <v>3744</v>
      </c>
      <c r="AB350" s="1" t="s">
        <v>3745</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3746</v>
      </c>
      <c r="AP350" s="1" t="s">
        <v>3747</v>
      </c>
      <c r="AQ350" s="1" t="s">
        <v>74</v>
      </c>
      <c r="AR350" s="1" t="s">
        <v>74</v>
      </c>
      <c r="AS350" s="1" t="s">
        <v>74</v>
      </c>
      <c r="AT350" s="1" t="s">
        <v>3748</v>
      </c>
      <c r="AU350" s="1">
        <v>2003.0</v>
      </c>
      <c r="AV350" s="1" t="s">
        <v>74</v>
      </c>
      <c r="AW350" s="1">
        <v>17.0</v>
      </c>
      <c r="AX350" s="1" t="s">
        <v>74</v>
      </c>
      <c r="AY350" s="1" t="s">
        <v>74</v>
      </c>
      <c r="AZ350" s="1" t="s">
        <v>74</v>
      </c>
      <c r="BA350" s="1" t="s">
        <v>74</v>
      </c>
      <c r="BB350" s="1">
        <v>3221.0</v>
      </c>
      <c r="BC350" s="1">
        <v>3232.0</v>
      </c>
      <c r="BD350" s="1" t="s">
        <v>74</v>
      </c>
      <c r="BE350" s="1" t="s">
        <v>3749</v>
      </c>
      <c r="BF350" s="2" t="str">
        <f>HYPERLINK("http://dx.doi.org/10.1002/ejic.200300135","http://dx.doi.org/10.1002/ejic.200300135")</f>
        <v>http://dx.doi.org/10.1002/ejic.200300135</v>
      </c>
      <c r="BG350" s="1" t="s">
        <v>74</v>
      </c>
      <c r="BH350" s="1" t="s">
        <v>74</v>
      </c>
      <c r="BI350" s="1" t="s">
        <v>74</v>
      </c>
      <c r="BJ350" s="1" t="s">
        <v>74</v>
      </c>
      <c r="BK350" s="1" t="s">
        <v>74</v>
      </c>
      <c r="BL350" s="1" t="s">
        <v>74</v>
      </c>
      <c r="BM350" s="1" t="s">
        <v>74</v>
      </c>
      <c r="BN350" s="1" t="s">
        <v>74</v>
      </c>
      <c r="BO350" s="1" t="s">
        <v>74</v>
      </c>
      <c r="BP350" s="1" t="s">
        <v>74</v>
      </c>
      <c r="BQ350" s="1" t="s">
        <v>74</v>
      </c>
      <c r="BR350" s="1" t="s">
        <v>74</v>
      </c>
      <c r="BS350" s="1" t="s">
        <v>3750</v>
      </c>
      <c r="BT350" s="1" t="str">
        <f>HYPERLINK("https%3A%2F%2Fwww.webofscience.com%2Fwos%2Fwoscc%2Ffull-record%2FWOS:000185327500019","View Full Record in Web of Science")</f>
        <v>View Full Record in Web of Science</v>
      </c>
    </row>
    <row r="351" ht="12.75" customHeight="1">
      <c r="A351" s="1" t="s">
        <v>72</v>
      </c>
      <c r="B351" s="1" t="s">
        <v>3751</v>
      </c>
      <c r="C351" s="1" t="s">
        <v>74</v>
      </c>
      <c r="D351" s="1" t="s">
        <v>74</v>
      </c>
      <c r="E351" s="1" t="s">
        <v>74</v>
      </c>
      <c r="F351" s="1" t="s">
        <v>3752</v>
      </c>
      <c r="G351" s="1" t="s">
        <v>74</v>
      </c>
      <c r="H351" s="1" t="s">
        <v>74</v>
      </c>
      <c r="I351" s="1" t="s">
        <v>3753</v>
      </c>
      <c r="J351" s="1" t="s">
        <v>3754</v>
      </c>
      <c r="K351" s="1" t="s">
        <v>74</v>
      </c>
      <c r="L351" s="1" t="s">
        <v>74</v>
      </c>
      <c r="M351" s="1" t="s">
        <v>74</v>
      </c>
      <c r="N351" s="1" t="s">
        <v>74</v>
      </c>
      <c r="O351" s="1" t="s">
        <v>74</v>
      </c>
      <c r="P351" s="1" t="s">
        <v>74</v>
      </c>
      <c r="Q351" s="1" t="s">
        <v>74</v>
      </c>
      <c r="R351" s="1" t="s">
        <v>74</v>
      </c>
      <c r="S351" s="1" t="s">
        <v>74</v>
      </c>
      <c r="T351" s="1" t="s">
        <v>74</v>
      </c>
      <c r="U351" s="1" t="s">
        <v>74</v>
      </c>
      <c r="V351" s="1" t="s">
        <v>3755</v>
      </c>
      <c r="W351" s="1" t="s">
        <v>74</v>
      </c>
      <c r="X351" s="1" t="s">
        <v>74</v>
      </c>
      <c r="Y351" s="1" t="s">
        <v>74</v>
      </c>
      <c r="Z351" s="1" t="s">
        <v>74</v>
      </c>
      <c r="AA351" s="1" t="s">
        <v>3756</v>
      </c>
      <c r="AB351" s="1" t="s">
        <v>3757</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3758</v>
      </c>
      <c r="AP351" s="1" t="s">
        <v>74</v>
      </c>
      <c r="AQ351" s="1" t="s">
        <v>74</v>
      </c>
      <c r="AR351" s="1" t="s">
        <v>74</v>
      </c>
      <c r="AS351" s="1" t="s">
        <v>74</v>
      </c>
      <c r="AT351" s="1" t="s">
        <v>392</v>
      </c>
      <c r="AU351" s="1">
        <v>2024.0</v>
      </c>
      <c r="AV351" s="1">
        <v>66.0</v>
      </c>
      <c r="AW351" s="1" t="s">
        <v>74</v>
      </c>
      <c r="AX351" s="1" t="s">
        <v>74</v>
      </c>
      <c r="AY351" s="1" t="s">
        <v>74</v>
      </c>
      <c r="AZ351" s="1" t="s">
        <v>74</v>
      </c>
      <c r="BA351" s="1" t="s">
        <v>74</v>
      </c>
      <c r="BB351" s="1" t="s">
        <v>74</v>
      </c>
      <c r="BC351" s="1" t="s">
        <v>74</v>
      </c>
      <c r="BD351" s="1">
        <v>101608.0</v>
      </c>
      <c r="BE351" s="1" t="s">
        <v>3759</v>
      </c>
      <c r="BF351" s="2" t="str">
        <f>HYPERLINK("http://dx.doi.org/10.1016/j.ecoser.2024.101608","http://dx.doi.org/10.1016/j.ecoser.2024.101608")</f>
        <v>http://dx.doi.org/10.1016/j.ecoser.2024.101608</v>
      </c>
      <c r="BG351" s="1" t="s">
        <v>74</v>
      </c>
      <c r="BH351" s="1" t="s">
        <v>1329</v>
      </c>
      <c r="BI351" s="1" t="s">
        <v>74</v>
      </c>
      <c r="BJ351" s="1" t="s">
        <v>74</v>
      </c>
      <c r="BK351" s="1" t="s">
        <v>74</v>
      </c>
      <c r="BL351" s="1" t="s">
        <v>74</v>
      </c>
      <c r="BM351" s="1" t="s">
        <v>74</v>
      </c>
      <c r="BN351" s="1" t="s">
        <v>74</v>
      </c>
      <c r="BO351" s="1" t="s">
        <v>74</v>
      </c>
      <c r="BP351" s="1" t="s">
        <v>74</v>
      </c>
      <c r="BQ351" s="1" t="s">
        <v>74</v>
      </c>
      <c r="BR351" s="1" t="s">
        <v>74</v>
      </c>
      <c r="BS351" s="1" t="s">
        <v>3760</v>
      </c>
      <c r="BT351" s="1" t="str">
        <f>HYPERLINK("https%3A%2F%2Fwww.webofscience.com%2Fwos%2Fwoscc%2Ffull-record%2FWOS:001203686600001","View Full Record in Web of Science")</f>
        <v>View Full Record in Web of Science</v>
      </c>
    </row>
    <row r="352" ht="12.75" customHeight="1">
      <c r="A352" s="1" t="s">
        <v>72</v>
      </c>
      <c r="B352" s="1" t="s">
        <v>3761</v>
      </c>
      <c r="C352" s="1" t="s">
        <v>74</v>
      </c>
      <c r="D352" s="1" t="s">
        <v>74</v>
      </c>
      <c r="E352" s="1" t="s">
        <v>74</v>
      </c>
      <c r="F352" s="1" t="s">
        <v>3762</v>
      </c>
      <c r="G352" s="1" t="s">
        <v>74</v>
      </c>
      <c r="H352" s="1" t="s">
        <v>74</v>
      </c>
      <c r="I352" s="1" t="s">
        <v>3763</v>
      </c>
      <c r="J352" s="1" t="s">
        <v>871</v>
      </c>
      <c r="K352" s="1" t="s">
        <v>74</v>
      </c>
      <c r="L352" s="1" t="s">
        <v>74</v>
      </c>
      <c r="M352" s="1" t="s">
        <v>74</v>
      </c>
      <c r="N352" s="1" t="s">
        <v>74</v>
      </c>
      <c r="O352" s="1" t="s">
        <v>74</v>
      </c>
      <c r="P352" s="1" t="s">
        <v>74</v>
      </c>
      <c r="Q352" s="1" t="s">
        <v>74</v>
      </c>
      <c r="R352" s="1" t="s">
        <v>74</v>
      </c>
      <c r="S352" s="1" t="s">
        <v>74</v>
      </c>
      <c r="T352" s="1" t="s">
        <v>74</v>
      </c>
      <c r="U352" s="1" t="s">
        <v>74</v>
      </c>
      <c r="V352" s="1" t="s">
        <v>3764</v>
      </c>
      <c r="W352" s="1" t="s">
        <v>74</v>
      </c>
      <c r="X352" s="1" t="s">
        <v>74</v>
      </c>
      <c r="Y352" s="1" t="s">
        <v>74</v>
      </c>
      <c r="Z352" s="1" t="s">
        <v>74</v>
      </c>
      <c r="AA352" s="1" t="s">
        <v>3765</v>
      </c>
      <c r="AB352" s="1" t="s">
        <v>3766</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74</v>
      </c>
      <c r="AP352" s="1" t="s">
        <v>875</v>
      </c>
      <c r="AQ352" s="1" t="s">
        <v>74</v>
      </c>
      <c r="AR352" s="1" t="s">
        <v>74</v>
      </c>
      <c r="AS352" s="1" t="s">
        <v>74</v>
      </c>
      <c r="AT352" s="1" t="s">
        <v>1230</v>
      </c>
      <c r="AU352" s="1">
        <v>2023.0</v>
      </c>
      <c r="AV352" s="1">
        <v>16.0</v>
      </c>
      <c r="AW352" s="1">
        <v>9.0</v>
      </c>
      <c r="AX352" s="1" t="s">
        <v>74</v>
      </c>
      <c r="AY352" s="1" t="s">
        <v>74</v>
      </c>
      <c r="AZ352" s="1" t="s">
        <v>74</v>
      </c>
      <c r="BA352" s="1" t="s">
        <v>74</v>
      </c>
      <c r="BB352" s="1" t="s">
        <v>74</v>
      </c>
      <c r="BC352" s="1" t="s">
        <v>74</v>
      </c>
      <c r="BD352" s="1">
        <v>3518.0</v>
      </c>
      <c r="BE352" s="1" t="s">
        <v>3767</v>
      </c>
      <c r="BF352" s="2" t="str">
        <f>HYPERLINK("http://dx.doi.org/10.3390/ma16093518","http://dx.doi.org/10.3390/ma16093518")</f>
        <v>http://dx.doi.org/10.3390/ma16093518</v>
      </c>
      <c r="BG352" s="1" t="s">
        <v>74</v>
      </c>
      <c r="BH352" s="1" t="s">
        <v>74</v>
      </c>
      <c r="BI352" s="1" t="s">
        <v>74</v>
      </c>
      <c r="BJ352" s="1" t="s">
        <v>74</v>
      </c>
      <c r="BK352" s="1" t="s">
        <v>74</v>
      </c>
      <c r="BL352" s="1" t="s">
        <v>74</v>
      </c>
      <c r="BM352" s="1" t="s">
        <v>74</v>
      </c>
      <c r="BN352" s="1">
        <v>3.71764E7</v>
      </c>
      <c r="BO352" s="1" t="s">
        <v>74</v>
      </c>
      <c r="BP352" s="1" t="s">
        <v>74</v>
      </c>
      <c r="BQ352" s="1" t="s">
        <v>74</v>
      </c>
      <c r="BR352" s="1" t="s">
        <v>74</v>
      </c>
      <c r="BS352" s="1" t="s">
        <v>3768</v>
      </c>
      <c r="BT352" s="1" t="str">
        <f>HYPERLINK("https%3A%2F%2Fwww.webofscience.com%2Fwos%2Fwoscc%2Ffull-record%2FWOS:000987307200001","View Full Record in Web of Science")</f>
        <v>View Full Record in Web of Science</v>
      </c>
    </row>
    <row r="353" ht="12.75" customHeight="1">
      <c r="A353" s="1" t="s">
        <v>72</v>
      </c>
      <c r="B353" s="1" t="s">
        <v>3769</v>
      </c>
      <c r="C353" s="1" t="s">
        <v>74</v>
      </c>
      <c r="D353" s="1" t="s">
        <v>74</v>
      </c>
      <c r="E353" s="1" t="s">
        <v>74</v>
      </c>
      <c r="F353" s="1" t="s">
        <v>3770</v>
      </c>
      <c r="G353" s="1" t="s">
        <v>74</v>
      </c>
      <c r="H353" s="1" t="s">
        <v>74</v>
      </c>
      <c r="I353" s="1" t="s">
        <v>3771</v>
      </c>
      <c r="J353" s="1" t="s">
        <v>3772</v>
      </c>
      <c r="K353" s="1" t="s">
        <v>74</v>
      </c>
      <c r="L353" s="1" t="s">
        <v>74</v>
      </c>
      <c r="M353" s="1" t="s">
        <v>74</v>
      </c>
      <c r="N353" s="1" t="s">
        <v>74</v>
      </c>
      <c r="O353" s="1" t="s">
        <v>74</v>
      </c>
      <c r="P353" s="1" t="s">
        <v>74</v>
      </c>
      <c r="Q353" s="1" t="s">
        <v>74</v>
      </c>
      <c r="R353" s="1" t="s">
        <v>74</v>
      </c>
      <c r="S353" s="1" t="s">
        <v>74</v>
      </c>
      <c r="T353" s="1" t="s">
        <v>74</v>
      </c>
      <c r="U353" s="1" t="s">
        <v>74</v>
      </c>
      <c r="V353" s="1" t="s">
        <v>3773</v>
      </c>
      <c r="W353" s="1" t="s">
        <v>74</v>
      </c>
      <c r="X353" s="1" t="s">
        <v>74</v>
      </c>
      <c r="Y353" s="1" t="s">
        <v>74</v>
      </c>
      <c r="Z353" s="1" t="s">
        <v>74</v>
      </c>
      <c r="AA353" s="1" t="s">
        <v>3774</v>
      </c>
      <c r="AB353" s="1" t="s">
        <v>3775</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3776</v>
      </c>
      <c r="AP353" s="1" t="s">
        <v>3777</v>
      </c>
      <c r="AQ353" s="1" t="s">
        <v>74</v>
      </c>
      <c r="AR353" s="1" t="s">
        <v>74</v>
      </c>
      <c r="AS353" s="1" t="s">
        <v>74</v>
      </c>
      <c r="AT353" s="1" t="s">
        <v>312</v>
      </c>
      <c r="AU353" s="1">
        <v>2022.0</v>
      </c>
      <c r="AV353" s="1">
        <v>507.0</v>
      </c>
      <c r="AW353" s="1" t="s">
        <v>74</v>
      </c>
      <c r="AX353" s="1" t="s">
        <v>74</v>
      </c>
      <c r="AY353" s="1" t="s">
        <v>74</v>
      </c>
      <c r="AZ353" s="1" t="s">
        <v>74</v>
      </c>
      <c r="BA353" s="1" t="s">
        <v>74</v>
      </c>
      <c r="BB353" s="1">
        <v>52.0</v>
      </c>
      <c r="BC353" s="1">
        <v>63.0</v>
      </c>
      <c r="BD353" s="1" t="s">
        <v>74</v>
      </c>
      <c r="BE353" s="1" t="s">
        <v>3778</v>
      </c>
      <c r="BF353" s="2" t="str">
        <f>HYPERLINK("http://dx.doi.org/10.1016/j.neuroscience.2022.10.024","http://dx.doi.org/10.1016/j.neuroscience.2022.10.024")</f>
        <v>http://dx.doi.org/10.1016/j.neuroscience.2022.10.024</v>
      </c>
      <c r="BG353" s="1" t="s">
        <v>74</v>
      </c>
      <c r="BH353" s="1" t="s">
        <v>3779</v>
      </c>
      <c r="BI353" s="1" t="s">
        <v>74</v>
      </c>
      <c r="BJ353" s="1" t="s">
        <v>74</v>
      </c>
      <c r="BK353" s="1" t="s">
        <v>74</v>
      </c>
      <c r="BL353" s="1" t="s">
        <v>74</v>
      </c>
      <c r="BM353" s="1" t="s">
        <v>74</v>
      </c>
      <c r="BN353" s="1">
        <v>3.6368604E7</v>
      </c>
      <c r="BO353" s="1" t="s">
        <v>74</v>
      </c>
      <c r="BP353" s="1" t="s">
        <v>74</v>
      </c>
      <c r="BQ353" s="1" t="s">
        <v>74</v>
      </c>
      <c r="BR353" s="1" t="s">
        <v>74</v>
      </c>
      <c r="BS353" s="1" t="s">
        <v>3780</v>
      </c>
      <c r="BT353" s="1" t="str">
        <f>HYPERLINK("https%3A%2F%2Fwww.webofscience.com%2Fwos%2Fwoscc%2Ffull-record%2FWOS:000900833300002","View Full Record in Web of Science")</f>
        <v>View Full Record in Web of Science</v>
      </c>
    </row>
    <row r="354" ht="12.75" customHeight="1">
      <c r="A354" s="1" t="s">
        <v>72</v>
      </c>
      <c r="B354" s="1" t="s">
        <v>3781</v>
      </c>
      <c r="C354" s="1" t="s">
        <v>74</v>
      </c>
      <c r="D354" s="1" t="s">
        <v>74</v>
      </c>
      <c r="E354" s="1" t="s">
        <v>74</v>
      </c>
      <c r="F354" s="1" t="s">
        <v>3782</v>
      </c>
      <c r="G354" s="1" t="s">
        <v>74</v>
      </c>
      <c r="H354" s="1" t="s">
        <v>74</v>
      </c>
      <c r="I354" s="1" t="s">
        <v>3783</v>
      </c>
      <c r="J354" s="1" t="s">
        <v>1121</v>
      </c>
      <c r="K354" s="1" t="s">
        <v>74</v>
      </c>
      <c r="L354" s="1" t="s">
        <v>74</v>
      </c>
      <c r="M354" s="1" t="s">
        <v>74</v>
      </c>
      <c r="N354" s="1" t="s">
        <v>74</v>
      </c>
      <c r="O354" s="1" t="s">
        <v>74</v>
      </c>
      <c r="P354" s="1" t="s">
        <v>74</v>
      </c>
      <c r="Q354" s="1" t="s">
        <v>74</v>
      </c>
      <c r="R354" s="1" t="s">
        <v>74</v>
      </c>
      <c r="S354" s="1" t="s">
        <v>74</v>
      </c>
      <c r="T354" s="1" t="s">
        <v>74</v>
      </c>
      <c r="U354" s="1" t="s">
        <v>74</v>
      </c>
      <c r="V354" s="1" t="s">
        <v>3784</v>
      </c>
      <c r="W354" s="1" t="s">
        <v>74</v>
      </c>
      <c r="X354" s="1" t="s">
        <v>74</v>
      </c>
      <c r="Y354" s="1" t="s">
        <v>74</v>
      </c>
      <c r="Z354" s="1" t="s">
        <v>74</v>
      </c>
      <c r="AA354" s="1" t="s">
        <v>3785</v>
      </c>
      <c r="AB354" s="1" t="s">
        <v>3786</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74</v>
      </c>
      <c r="AP354" s="1" t="s">
        <v>1125</v>
      </c>
      <c r="AQ354" s="1" t="s">
        <v>74</v>
      </c>
      <c r="AR354" s="1" t="s">
        <v>74</v>
      </c>
      <c r="AS354" s="1" t="s">
        <v>74</v>
      </c>
      <c r="AT354" s="1" t="s">
        <v>1018</v>
      </c>
      <c r="AU354" s="1">
        <v>2018.0</v>
      </c>
      <c r="AV354" s="1">
        <v>9.0</v>
      </c>
      <c r="AW354" s="1" t="s">
        <v>74</v>
      </c>
      <c r="AX354" s="1" t="s">
        <v>74</v>
      </c>
      <c r="AY354" s="1" t="s">
        <v>74</v>
      </c>
      <c r="AZ354" s="1" t="s">
        <v>74</v>
      </c>
      <c r="BA354" s="1" t="s">
        <v>74</v>
      </c>
      <c r="BB354" s="1" t="s">
        <v>74</v>
      </c>
      <c r="BC354" s="1" t="s">
        <v>74</v>
      </c>
      <c r="BD354" s="1">
        <v>741.0</v>
      </c>
      <c r="BE354" s="1" t="s">
        <v>3787</v>
      </c>
      <c r="BF354" s="2" t="str">
        <f>HYPERLINK("http://dx.doi.org/10.3389/fphys.2018.00741","http://dx.doi.org/10.3389/fphys.2018.00741")</f>
        <v>http://dx.doi.org/10.3389/fphys.2018.00741</v>
      </c>
      <c r="BG354" s="1" t="s">
        <v>74</v>
      </c>
      <c r="BH354" s="1" t="s">
        <v>74</v>
      </c>
      <c r="BI354" s="1" t="s">
        <v>74</v>
      </c>
      <c r="BJ354" s="1" t="s">
        <v>74</v>
      </c>
      <c r="BK354" s="1" t="s">
        <v>74</v>
      </c>
      <c r="BL354" s="1" t="s">
        <v>74</v>
      </c>
      <c r="BM354" s="1" t="s">
        <v>74</v>
      </c>
      <c r="BN354" s="1">
        <v>2.9997519E7</v>
      </c>
      <c r="BO354" s="1" t="s">
        <v>74</v>
      </c>
      <c r="BP354" s="1" t="s">
        <v>74</v>
      </c>
      <c r="BQ354" s="1" t="s">
        <v>74</v>
      </c>
      <c r="BR354" s="1" t="s">
        <v>74</v>
      </c>
      <c r="BS354" s="1" t="s">
        <v>3788</v>
      </c>
      <c r="BT354" s="1" t="str">
        <f>HYPERLINK("https%3A%2F%2Fwww.webofscience.com%2Fwos%2Fwoscc%2Ffull-record%2FWOS:000436471000001","View Full Record in Web of Science")</f>
        <v>View Full Record in Web of Science</v>
      </c>
    </row>
    <row r="355" ht="12.75" customHeight="1">
      <c r="A355" s="1" t="s">
        <v>72</v>
      </c>
      <c r="B355" s="1" t="s">
        <v>3789</v>
      </c>
      <c r="C355" s="1" t="s">
        <v>74</v>
      </c>
      <c r="D355" s="1" t="s">
        <v>74</v>
      </c>
      <c r="E355" s="1" t="s">
        <v>74</v>
      </c>
      <c r="F355" s="1" t="s">
        <v>3790</v>
      </c>
      <c r="G355" s="1" t="s">
        <v>74</v>
      </c>
      <c r="H355" s="1" t="s">
        <v>74</v>
      </c>
      <c r="I355" s="1" t="s">
        <v>3791</v>
      </c>
      <c r="J355" s="1" t="s">
        <v>3792</v>
      </c>
      <c r="K355" s="1" t="s">
        <v>74</v>
      </c>
      <c r="L355" s="1" t="s">
        <v>74</v>
      </c>
      <c r="M355" s="1" t="s">
        <v>74</v>
      </c>
      <c r="N355" s="1" t="s">
        <v>74</v>
      </c>
      <c r="O355" s="1" t="s">
        <v>74</v>
      </c>
      <c r="P355" s="1" t="s">
        <v>74</v>
      </c>
      <c r="Q355" s="1" t="s">
        <v>74</v>
      </c>
      <c r="R355" s="1" t="s">
        <v>74</v>
      </c>
      <c r="S355" s="1" t="s">
        <v>74</v>
      </c>
      <c r="T355" s="1" t="s">
        <v>74</v>
      </c>
      <c r="U355" s="1" t="s">
        <v>74</v>
      </c>
      <c r="V355" s="1" t="s">
        <v>3793</v>
      </c>
      <c r="W355" s="1" t="s">
        <v>74</v>
      </c>
      <c r="X355" s="1" t="s">
        <v>74</v>
      </c>
      <c r="Y355" s="1" t="s">
        <v>74</v>
      </c>
      <c r="Z355" s="1" t="s">
        <v>74</v>
      </c>
      <c r="AA355" s="1" t="s">
        <v>3794</v>
      </c>
      <c r="AB355" s="1" t="s">
        <v>3795</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3796</v>
      </c>
      <c r="AP355" s="1" t="s">
        <v>3797</v>
      </c>
      <c r="AQ355" s="1" t="s">
        <v>74</v>
      </c>
      <c r="AR355" s="1" t="s">
        <v>74</v>
      </c>
      <c r="AS355" s="1" t="s">
        <v>74</v>
      </c>
      <c r="AT355" s="1" t="s">
        <v>745</v>
      </c>
      <c r="AU355" s="1">
        <v>2011.0</v>
      </c>
      <c r="AV355" s="1">
        <v>73.0</v>
      </c>
      <c r="AW355" s="1" t="s">
        <v>3798</v>
      </c>
      <c r="AX355" s="1" t="s">
        <v>74</v>
      </c>
      <c r="AY355" s="1" t="s">
        <v>74</v>
      </c>
      <c r="AZ355" s="1" t="s">
        <v>448</v>
      </c>
      <c r="BA355" s="1" t="s">
        <v>74</v>
      </c>
      <c r="BB355" s="1">
        <v>1472.0</v>
      </c>
      <c r="BC355" s="1">
        <v>1477.0</v>
      </c>
      <c r="BD355" s="1" t="s">
        <v>74</v>
      </c>
      <c r="BE355" s="1" t="s">
        <v>3799</v>
      </c>
      <c r="BF355" s="2" t="str">
        <f>HYPERLINK("http://dx.doi.org/10.1016/j.jastp.2011.05.007","http://dx.doi.org/10.1016/j.jastp.2011.05.007")</f>
        <v>http://dx.doi.org/10.1016/j.jastp.2011.05.007</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3800</v>
      </c>
      <c r="BT355" s="1" t="str">
        <f>HYPERLINK("https%3A%2F%2Fwww.webofscience.com%2Fwos%2Fwoscc%2Ffull-record%2FWOS:000294093500025","View Full Record in Web of Science")</f>
        <v>View Full Record in Web of Science</v>
      </c>
    </row>
    <row r="356" ht="12.75" customHeight="1">
      <c r="A356" s="1" t="s">
        <v>72</v>
      </c>
      <c r="B356" s="1" t="s">
        <v>3801</v>
      </c>
      <c r="C356" s="1" t="s">
        <v>74</v>
      </c>
      <c r="D356" s="1" t="s">
        <v>74</v>
      </c>
      <c r="E356" s="1" t="s">
        <v>74</v>
      </c>
      <c r="F356" s="1" t="s">
        <v>3802</v>
      </c>
      <c r="G356" s="1" t="s">
        <v>74</v>
      </c>
      <c r="H356" s="1" t="s">
        <v>74</v>
      </c>
      <c r="I356" s="1" t="s">
        <v>3803</v>
      </c>
      <c r="J356" s="1" t="s">
        <v>2490</v>
      </c>
      <c r="K356" s="1" t="s">
        <v>74</v>
      </c>
      <c r="L356" s="1" t="s">
        <v>74</v>
      </c>
      <c r="M356" s="1" t="s">
        <v>74</v>
      </c>
      <c r="N356" s="1" t="s">
        <v>74</v>
      </c>
      <c r="O356" s="1" t="s">
        <v>74</v>
      </c>
      <c r="P356" s="1" t="s">
        <v>74</v>
      </c>
      <c r="Q356" s="1" t="s">
        <v>74</v>
      </c>
      <c r="R356" s="1" t="s">
        <v>74</v>
      </c>
      <c r="S356" s="1" t="s">
        <v>74</v>
      </c>
      <c r="T356" s="1" t="s">
        <v>74</v>
      </c>
      <c r="U356" s="1" t="s">
        <v>74</v>
      </c>
      <c r="V356" s="1" t="s">
        <v>3804</v>
      </c>
      <c r="W356" s="1" t="s">
        <v>74</v>
      </c>
      <c r="X356" s="1" t="s">
        <v>74</v>
      </c>
      <c r="Y356" s="1" t="s">
        <v>74</v>
      </c>
      <c r="Z356" s="1" t="s">
        <v>74</v>
      </c>
      <c r="AA356" s="1" t="s">
        <v>3805</v>
      </c>
      <c r="AB356" s="1" t="s">
        <v>3806</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2494</v>
      </c>
      <c r="AP356" s="1" t="s">
        <v>2495</v>
      </c>
      <c r="AQ356" s="1" t="s">
        <v>74</v>
      </c>
      <c r="AR356" s="1" t="s">
        <v>74</v>
      </c>
      <c r="AS356" s="1" t="s">
        <v>74</v>
      </c>
      <c r="AT356" s="1" t="s">
        <v>2496</v>
      </c>
      <c r="AU356" s="1">
        <v>2024.0</v>
      </c>
      <c r="AV356" s="1">
        <v>51.0</v>
      </c>
      <c r="AW356" s="1">
        <v>13.0</v>
      </c>
      <c r="AX356" s="1" t="s">
        <v>74</v>
      </c>
      <c r="AY356" s="1" t="s">
        <v>74</v>
      </c>
      <c r="AZ356" s="1" t="s">
        <v>74</v>
      </c>
      <c r="BA356" s="1" t="s">
        <v>74</v>
      </c>
      <c r="BB356" s="1" t="s">
        <v>74</v>
      </c>
      <c r="BC356" s="1" t="s">
        <v>74</v>
      </c>
      <c r="BD356" s="1" t="s">
        <v>3807</v>
      </c>
      <c r="BE356" s="1" t="s">
        <v>3808</v>
      </c>
      <c r="BF356" s="2" t="str">
        <f>HYPERLINK("http://dx.doi.org/10.1029/2024GL108391","http://dx.doi.org/10.1029/2024GL108391")</f>
        <v>http://dx.doi.org/10.1029/2024GL108391</v>
      </c>
      <c r="BG356" s="1" t="s">
        <v>74</v>
      </c>
      <c r="BH356" s="1" t="s">
        <v>74</v>
      </c>
      <c r="BI356" s="1" t="s">
        <v>74</v>
      </c>
      <c r="BJ356" s="1" t="s">
        <v>74</v>
      </c>
      <c r="BK356" s="1" t="s">
        <v>74</v>
      </c>
      <c r="BL356" s="1" t="s">
        <v>74</v>
      </c>
      <c r="BM356" s="1" t="s">
        <v>74</v>
      </c>
      <c r="BN356" s="1" t="s">
        <v>74</v>
      </c>
      <c r="BO356" s="1" t="s">
        <v>74</v>
      </c>
      <c r="BP356" s="1" t="s">
        <v>74</v>
      </c>
      <c r="BQ356" s="1" t="s">
        <v>74</v>
      </c>
      <c r="BR356" s="1" t="s">
        <v>74</v>
      </c>
      <c r="BS356" s="1" t="s">
        <v>3809</v>
      </c>
      <c r="BT356" s="1" t="str">
        <f>HYPERLINK("https%3A%2F%2Fwww.webofscience.com%2Fwos%2Fwoscc%2Ffull-record%2FWOS:001257591300001","View Full Record in Web of Science")</f>
        <v>View Full Record in Web of Science</v>
      </c>
    </row>
    <row r="357" ht="12.75" customHeight="1">
      <c r="A357" s="1" t="s">
        <v>72</v>
      </c>
      <c r="B357" s="1" t="s">
        <v>3810</v>
      </c>
      <c r="C357" s="1" t="s">
        <v>74</v>
      </c>
      <c r="D357" s="1" t="s">
        <v>74</v>
      </c>
      <c r="E357" s="1" t="s">
        <v>74</v>
      </c>
      <c r="F357" s="1" t="s">
        <v>3811</v>
      </c>
      <c r="G357" s="1" t="s">
        <v>74</v>
      </c>
      <c r="H357" s="1" t="s">
        <v>74</v>
      </c>
      <c r="I357" s="1" t="s">
        <v>3812</v>
      </c>
      <c r="J357" s="1" t="s">
        <v>1121</v>
      </c>
      <c r="K357" s="1" t="s">
        <v>74</v>
      </c>
      <c r="L357" s="1" t="s">
        <v>74</v>
      </c>
      <c r="M357" s="1" t="s">
        <v>74</v>
      </c>
      <c r="N357" s="1" t="s">
        <v>74</v>
      </c>
      <c r="O357" s="1" t="s">
        <v>74</v>
      </c>
      <c r="P357" s="1" t="s">
        <v>74</v>
      </c>
      <c r="Q357" s="1" t="s">
        <v>74</v>
      </c>
      <c r="R357" s="1" t="s">
        <v>74</v>
      </c>
      <c r="S357" s="1" t="s">
        <v>74</v>
      </c>
      <c r="T357" s="1" t="s">
        <v>74</v>
      </c>
      <c r="U357" s="1" t="s">
        <v>74</v>
      </c>
      <c r="V357" s="1" t="s">
        <v>3813</v>
      </c>
      <c r="W357" s="1" t="s">
        <v>74</v>
      </c>
      <c r="X357" s="1" t="s">
        <v>74</v>
      </c>
      <c r="Y357" s="1" t="s">
        <v>74</v>
      </c>
      <c r="Z357" s="1" t="s">
        <v>74</v>
      </c>
      <c r="AA357" s="1" t="s">
        <v>3814</v>
      </c>
      <c r="AB357" s="1" t="s">
        <v>3815</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74</v>
      </c>
      <c r="AP357" s="1" t="s">
        <v>1125</v>
      </c>
      <c r="AQ357" s="1" t="s">
        <v>74</v>
      </c>
      <c r="AR357" s="1" t="s">
        <v>74</v>
      </c>
      <c r="AS357" s="1" t="s">
        <v>74</v>
      </c>
      <c r="AT357" s="1" t="s">
        <v>3816</v>
      </c>
      <c r="AU357" s="1">
        <v>2024.0</v>
      </c>
      <c r="AV357" s="1">
        <v>14.0</v>
      </c>
      <c r="AW357" s="1" t="s">
        <v>74</v>
      </c>
      <c r="AX357" s="1" t="s">
        <v>74</v>
      </c>
      <c r="AY357" s="1" t="s">
        <v>74</v>
      </c>
      <c r="AZ357" s="1" t="s">
        <v>74</v>
      </c>
      <c r="BA357" s="1" t="s">
        <v>74</v>
      </c>
      <c r="BB357" s="1" t="s">
        <v>74</v>
      </c>
      <c r="BC357" s="1" t="s">
        <v>74</v>
      </c>
      <c r="BD357" s="1">
        <v>1257639.0</v>
      </c>
      <c r="BE357" s="1" t="s">
        <v>3817</v>
      </c>
      <c r="BF357" s="2" t="str">
        <f>HYPERLINK("http://dx.doi.org/10.3389/fphys.2023.1257639","http://dx.doi.org/10.3389/fphys.2023.1257639")</f>
        <v>http://dx.doi.org/10.3389/fphys.2023.1257639</v>
      </c>
      <c r="BG357" s="1" t="s">
        <v>74</v>
      </c>
      <c r="BH357" s="1" t="s">
        <v>74</v>
      </c>
      <c r="BI357" s="1" t="s">
        <v>74</v>
      </c>
      <c r="BJ357" s="1" t="s">
        <v>74</v>
      </c>
      <c r="BK357" s="1" t="s">
        <v>74</v>
      </c>
      <c r="BL357" s="1" t="s">
        <v>74</v>
      </c>
      <c r="BM357" s="1" t="s">
        <v>74</v>
      </c>
      <c r="BN357" s="1">
        <v>3.8283281E7</v>
      </c>
      <c r="BO357" s="1" t="s">
        <v>74</v>
      </c>
      <c r="BP357" s="1" t="s">
        <v>74</v>
      </c>
      <c r="BQ357" s="1" t="s">
        <v>74</v>
      </c>
      <c r="BR357" s="1" t="s">
        <v>74</v>
      </c>
      <c r="BS357" s="1" t="s">
        <v>3818</v>
      </c>
      <c r="BT357" s="1" t="str">
        <f>HYPERLINK("https%3A%2F%2Fwww.webofscience.com%2Fwos%2Fwoscc%2Ffull-record%2FWOS:001150756000001","View Full Record in Web of Science")</f>
        <v>View Full Record in Web of Science</v>
      </c>
    </row>
    <row r="358" ht="12.75" customHeight="1">
      <c r="A358" s="1" t="s">
        <v>72</v>
      </c>
      <c r="B358" s="1" t="s">
        <v>3819</v>
      </c>
      <c r="C358" s="1" t="s">
        <v>74</v>
      </c>
      <c r="D358" s="1" t="s">
        <v>74</v>
      </c>
      <c r="E358" s="1" t="s">
        <v>74</v>
      </c>
      <c r="F358" s="1" t="s">
        <v>3820</v>
      </c>
      <c r="G358" s="1" t="s">
        <v>74</v>
      </c>
      <c r="H358" s="1" t="s">
        <v>74</v>
      </c>
      <c r="I358" s="1" t="s">
        <v>3821</v>
      </c>
      <c r="J358" s="1" t="s">
        <v>2174</v>
      </c>
      <c r="K358" s="1" t="s">
        <v>74</v>
      </c>
      <c r="L358" s="1" t="s">
        <v>74</v>
      </c>
      <c r="M358" s="1" t="s">
        <v>74</v>
      </c>
      <c r="N358" s="1" t="s">
        <v>74</v>
      </c>
      <c r="O358" s="1" t="s">
        <v>74</v>
      </c>
      <c r="P358" s="1" t="s">
        <v>74</v>
      </c>
      <c r="Q358" s="1" t="s">
        <v>74</v>
      </c>
      <c r="R358" s="1" t="s">
        <v>74</v>
      </c>
      <c r="S358" s="1" t="s">
        <v>74</v>
      </c>
      <c r="T358" s="1" t="s">
        <v>74</v>
      </c>
      <c r="U358" s="1" t="s">
        <v>74</v>
      </c>
      <c r="V358" s="1" t="s">
        <v>3822</v>
      </c>
      <c r="W358" s="1" t="s">
        <v>74</v>
      </c>
      <c r="X358" s="1" t="s">
        <v>74</v>
      </c>
      <c r="Y358" s="1" t="s">
        <v>74</v>
      </c>
      <c r="Z358" s="1" t="s">
        <v>74</v>
      </c>
      <c r="AA358" s="1" t="s">
        <v>3823</v>
      </c>
      <c r="AB358" s="1" t="s">
        <v>3824</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2178</v>
      </c>
      <c r="AP358" s="1" t="s">
        <v>3825</v>
      </c>
      <c r="AQ358" s="1" t="s">
        <v>74</v>
      </c>
      <c r="AR358" s="1" t="s">
        <v>74</v>
      </c>
      <c r="AS358" s="1" t="s">
        <v>74</v>
      </c>
      <c r="AT358" s="1" t="s">
        <v>3826</v>
      </c>
      <c r="AU358" s="1">
        <v>2023.0</v>
      </c>
      <c r="AV358" s="1">
        <v>120.0</v>
      </c>
      <c r="AW358" s="1">
        <v>20.0</v>
      </c>
      <c r="AX358" s="1" t="s">
        <v>74</v>
      </c>
      <c r="AY358" s="1" t="s">
        <v>74</v>
      </c>
      <c r="AZ358" s="1" t="s">
        <v>74</v>
      </c>
      <c r="BA358" s="1" t="s">
        <v>74</v>
      </c>
      <c r="BB358" s="1" t="s">
        <v>74</v>
      </c>
      <c r="BC358" s="1" t="s">
        <v>74</v>
      </c>
      <c r="BD358" s="1" t="s">
        <v>3827</v>
      </c>
      <c r="BE358" s="1" t="s">
        <v>3828</v>
      </c>
      <c r="BF358" s="2" t="str">
        <f>HYPERLINK("http://dx.doi.org/10.1073/pnas.2220852120","http://dx.doi.org/10.1073/pnas.2220852120")</f>
        <v>http://dx.doi.org/10.1073/pnas.2220852120</v>
      </c>
      <c r="BG358" s="1" t="s">
        <v>74</v>
      </c>
      <c r="BH358" s="1" t="s">
        <v>74</v>
      </c>
      <c r="BI358" s="1" t="s">
        <v>74</v>
      </c>
      <c r="BJ358" s="1" t="s">
        <v>74</v>
      </c>
      <c r="BK358" s="1" t="s">
        <v>74</v>
      </c>
      <c r="BL358" s="1" t="s">
        <v>74</v>
      </c>
      <c r="BM358" s="1" t="s">
        <v>74</v>
      </c>
      <c r="BN358" s="1">
        <v>3.7155895E7</v>
      </c>
      <c r="BO358" s="1" t="s">
        <v>74</v>
      </c>
      <c r="BP358" s="1" t="s">
        <v>74</v>
      </c>
      <c r="BQ358" s="1" t="s">
        <v>74</v>
      </c>
      <c r="BR358" s="1" t="s">
        <v>74</v>
      </c>
      <c r="BS358" s="1" t="s">
        <v>3829</v>
      </c>
      <c r="BT358" s="1" t="str">
        <f>HYPERLINK("https%3A%2F%2Fwww.webofscience.com%2Fwos%2Fwoscc%2Ffull-record%2FWOS:001168014500001","View Full Record in Web of Science")</f>
        <v>View Full Record in Web of Science</v>
      </c>
    </row>
    <row r="359" ht="12.75" customHeight="1">
      <c r="A359" s="1" t="s">
        <v>72</v>
      </c>
      <c r="B359" s="1" t="s">
        <v>3830</v>
      </c>
      <c r="C359" s="1" t="s">
        <v>74</v>
      </c>
      <c r="D359" s="1" t="s">
        <v>74</v>
      </c>
      <c r="E359" s="1" t="s">
        <v>74</v>
      </c>
      <c r="F359" s="1" t="s">
        <v>3831</v>
      </c>
      <c r="G359" s="1" t="s">
        <v>74</v>
      </c>
      <c r="H359" s="1" t="s">
        <v>74</v>
      </c>
      <c r="I359" s="1" t="s">
        <v>3832</v>
      </c>
      <c r="J359" s="1" t="s">
        <v>2174</v>
      </c>
      <c r="K359" s="1" t="s">
        <v>74</v>
      </c>
      <c r="L359" s="1" t="s">
        <v>74</v>
      </c>
      <c r="M359" s="1" t="s">
        <v>74</v>
      </c>
      <c r="N359" s="1" t="s">
        <v>74</v>
      </c>
      <c r="O359" s="1" t="s">
        <v>74</v>
      </c>
      <c r="P359" s="1" t="s">
        <v>74</v>
      </c>
      <c r="Q359" s="1" t="s">
        <v>74</v>
      </c>
      <c r="R359" s="1" t="s">
        <v>74</v>
      </c>
      <c r="S359" s="1" t="s">
        <v>74</v>
      </c>
      <c r="T359" s="1" t="s">
        <v>74</v>
      </c>
      <c r="U359" s="1" t="s">
        <v>74</v>
      </c>
      <c r="V359" s="1" t="s">
        <v>3833</v>
      </c>
      <c r="W359" s="1" t="s">
        <v>74</v>
      </c>
      <c r="X359" s="1" t="s">
        <v>74</v>
      </c>
      <c r="Y359" s="1" t="s">
        <v>74</v>
      </c>
      <c r="Z359" s="1" t="s">
        <v>74</v>
      </c>
      <c r="AA359" s="1" t="s">
        <v>3834</v>
      </c>
      <c r="AB359" s="1" t="s">
        <v>3835</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2178</v>
      </c>
      <c r="AP359" s="1" t="s">
        <v>3825</v>
      </c>
      <c r="AQ359" s="1" t="s">
        <v>74</v>
      </c>
      <c r="AR359" s="1" t="s">
        <v>74</v>
      </c>
      <c r="AS359" s="1" t="s">
        <v>74</v>
      </c>
      <c r="AT359" s="1" t="s">
        <v>3836</v>
      </c>
      <c r="AU359" s="1">
        <v>2010.0</v>
      </c>
      <c r="AV359" s="1">
        <v>107.0</v>
      </c>
      <c r="AW359" s="1">
        <v>17.0</v>
      </c>
      <c r="AX359" s="1" t="s">
        <v>74</v>
      </c>
      <c r="AY359" s="1" t="s">
        <v>74</v>
      </c>
      <c r="AZ359" s="1" t="s">
        <v>74</v>
      </c>
      <c r="BA359" s="1" t="s">
        <v>74</v>
      </c>
      <c r="BB359" s="1">
        <v>7635.0</v>
      </c>
      <c r="BC359" s="1">
        <v>7639.0</v>
      </c>
      <c r="BD359" s="1" t="s">
        <v>74</v>
      </c>
      <c r="BE359" s="1" t="s">
        <v>3837</v>
      </c>
      <c r="BF359" s="2" t="str">
        <f>HYPERLINK("http://dx.doi.org/10.1073/pnas.0911223107","http://dx.doi.org/10.1073/pnas.0911223107")</f>
        <v>http://dx.doi.org/10.1073/pnas.0911223107</v>
      </c>
      <c r="BG359" s="1" t="s">
        <v>74</v>
      </c>
      <c r="BH359" s="1" t="s">
        <v>74</v>
      </c>
      <c r="BI359" s="1" t="s">
        <v>74</v>
      </c>
      <c r="BJ359" s="1" t="s">
        <v>74</v>
      </c>
      <c r="BK359" s="1" t="s">
        <v>74</v>
      </c>
      <c r="BL359" s="1" t="s">
        <v>74</v>
      </c>
      <c r="BM359" s="1" t="s">
        <v>74</v>
      </c>
      <c r="BN359" s="1">
        <v>2.04042E7</v>
      </c>
      <c r="BO359" s="1" t="s">
        <v>74</v>
      </c>
      <c r="BP359" s="1" t="s">
        <v>74</v>
      </c>
      <c r="BQ359" s="1" t="s">
        <v>74</v>
      </c>
      <c r="BR359" s="1" t="s">
        <v>74</v>
      </c>
      <c r="BS359" s="1" t="s">
        <v>3838</v>
      </c>
      <c r="BT359" s="1" t="str">
        <f>HYPERLINK("https%3A%2F%2Fwww.webofscience.com%2Fwos%2Fwoscc%2Ffull-record%2FWOS:000277088700010","View Full Record in Web of Science")</f>
        <v>View Full Record in Web of Science</v>
      </c>
    </row>
    <row r="360" ht="12.75" customHeight="1">
      <c r="A360" s="1" t="s">
        <v>72</v>
      </c>
      <c r="B360" s="1" t="s">
        <v>3839</v>
      </c>
      <c r="C360" s="1" t="s">
        <v>74</v>
      </c>
      <c r="D360" s="1" t="s">
        <v>74</v>
      </c>
      <c r="E360" s="1" t="s">
        <v>74</v>
      </c>
      <c r="F360" s="1" t="s">
        <v>3840</v>
      </c>
      <c r="G360" s="1" t="s">
        <v>74</v>
      </c>
      <c r="H360" s="1" t="s">
        <v>74</v>
      </c>
      <c r="I360" s="1" t="s">
        <v>3841</v>
      </c>
      <c r="J360" s="1" t="s">
        <v>3842</v>
      </c>
      <c r="K360" s="1" t="s">
        <v>74</v>
      </c>
      <c r="L360" s="1" t="s">
        <v>74</v>
      </c>
      <c r="M360" s="1" t="s">
        <v>74</v>
      </c>
      <c r="N360" s="1" t="s">
        <v>74</v>
      </c>
      <c r="O360" s="1" t="s">
        <v>74</v>
      </c>
      <c r="P360" s="1" t="s">
        <v>74</v>
      </c>
      <c r="Q360" s="1" t="s">
        <v>74</v>
      </c>
      <c r="R360" s="1" t="s">
        <v>74</v>
      </c>
      <c r="S360" s="1" t="s">
        <v>74</v>
      </c>
      <c r="T360" s="1" t="s">
        <v>74</v>
      </c>
      <c r="U360" s="1" t="s">
        <v>74</v>
      </c>
      <c r="V360" s="1" t="s">
        <v>74</v>
      </c>
      <c r="W360" s="1" t="s">
        <v>74</v>
      </c>
      <c r="X360" s="1" t="s">
        <v>74</v>
      </c>
      <c r="Y360" s="1" t="s">
        <v>74</v>
      </c>
      <c r="Z360" s="1" t="s">
        <v>74</v>
      </c>
      <c r="AA360" s="1" t="s">
        <v>1717</v>
      </c>
      <c r="AB360" s="1" t="s">
        <v>1718</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3843</v>
      </c>
      <c r="AP360" s="1" t="s">
        <v>74</v>
      </c>
      <c r="AQ360" s="1" t="s">
        <v>74</v>
      </c>
      <c r="AR360" s="1" t="s">
        <v>74</v>
      </c>
      <c r="AS360" s="1" t="s">
        <v>74</v>
      </c>
      <c r="AT360" s="1" t="s">
        <v>3844</v>
      </c>
      <c r="AU360" s="1">
        <v>2022.0</v>
      </c>
      <c r="AV360" s="1">
        <v>14.0</v>
      </c>
      <c r="AW360" s="1" t="s">
        <v>74</v>
      </c>
      <c r="AX360" s="1" t="s">
        <v>74</v>
      </c>
      <c r="AY360" s="1" t="s">
        <v>74</v>
      </c>
      <c r="AZ360" s="1" t="s">
        <v>74</v>
      </c>
      <c r="BA360" s="1" t="s">
        <v>74</v>
      </c>
      <c r="BB360" s="1" t="s">
        <v>74</v>
      </c>
      <c r="BC360" s="1" t="s">
        <v>74</v>
      </c>
      <c r="BD360" s="1">
        <v>861041.0</v>
      </c>
      <c r="BE360" s="1" t="s">
        <v>3845</v>
      </c>
      <c r="BF360" s="2" t="str">
        <f>HYPERLINK("http://dx.doi.org/10.3389/fnagi.2022.861041","http://dx.doi.org/10.3389/fnagi.2022.861041")</f>
        <v>http://dx.doi.org/10.3389/fnagi.2022.861041</v>
      </c>
      <c r="BG360" s="1" t="s">
        <v>74</v>
      </c>
      <c r="BH360" s="1" t="s">
        <v>74</v>
      </c>
      <c r="BI360" s="1" t="s">
        <v>74</v>
      </c>
      <c r="BJ360" s="1" t="s">
        <v>74</v>
      </c>
      <c r="BK360" s="1" t="s">
        <v>74</v>
      </c>
      <c r="BL360" s="1" t="s">
        <v>74</v>
      </c>
      <c r="BM360" s="1" t="s">
        <v>74</v>
      </c>
      <c r="BN360" s="1">
        <v>3.5250552E7</v>
      </c>
      <c r="BO360" s="1" t="s">
        <v>74</v>
      </c>
      <c r="BP360" s="1" t="s">
        <v>74</v>
      </c>
      <c r="BQ360" s="1" t="s">
        <v>74</v>
      </c>
      <c r="BR360" s="1" t="s">
        <v>74</v>
      </c>
      <c r="BS360" s="1" t="s">
        <v>3846</v>
      </c>
      <c r="BT360" s="1" t="str">
        <f>HYPERLINK("https%3A%2F%2Fwww.webofscience.com%2Fwos%2Fwoscc%2Ffull-record%2FWOS:000765247800001","View Full Record in Web of Science")</f>
        <v>View Full Record in Web of Science</v>
      </c>
    </row>
    <row r="361" ht="12.75" customHeight="1">
      <c r="A361" s="1" t="s">
        <v>72</v>
      </c>
      <c r="B361" s="1" t="s">
        <v>3847</v>
      </c>
      <c r="C361" s="1" t="s">
        <v>74</v>
      </c>
      <c r="D361" s="1" t="s">
        <v>74</v>
      </c>
      <c r="E361" s="1" t="s">
        <v>74</v>
      </c>
      <c r="F361" s="1" t="s">
        <v>3848</v>
      </c>
      <c r="G361" s="1" t="s">
        <v>74</v>
      </c>
      <c r="H361" s="1" t="s">
        <v>74</v>
      </c>
      <c r="I361" s="1" t="s">
        <v>3849</v>
      </c>
      <c r="J361" s="1" t="s">
        <v>480</v>
      </c>
      <c r="K361" s="1" t="s">
        <v>74</v>
      </c>
      <c r="L361" s="1" t="s">
        <v>74</v>
      </c>
      <c r="M361" s="1" t="s">
        <v>74</v>
      </c>
      <c r="N361" s="1" t="s">
        <v>74</v>
      </c>
      <c r="O361" s="1" t="s">
        <v>74</v>
      </c>
      <c r="P361" s="1" t="s">
        <v>74</v>
      </c>
      <c r="Q361" s="1" t="s">
        <v>74</v>
      </c>
      <c r="R361" s="1" t="s">
        <v>74</v>
      </c>
      <c r="S361" s="1" t="s">
        <v>74</v>
      </c>
      <c r="T361" s="1" t="s">
        <v>74</v>
      </c>
      <c r="U361" s="1" t="s">
        <v>74</v>
      </c>
      <c r="V361" s="1" t="s">
        <v>3850</v>
      </c>
      <c r="W361" s="1" t="s">
        <v>74</v>
      </c>
      <c r="X361" s="1" t="s">
        <v>74</v>
      </c>
      <c r="Y361" s="1" t="s">
        <v>74</v>
      </c>
      <c r="Z361" s="1" t="s">
        <v>74</v>
      </c>
      <c r="AA361" s="1" t="s">
        <v>3851</v>
      </c>
      <c r="AB361" s="1" t="s">
        <v>3852</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484</v>
      </c>
      <c r="AP361" s="1" t="s">
        <v>74</v>
      </c>
      <c r="AQ361" s="1" t="s">
        <v>74</v>
      </c>
      <c r="AR361" s="1" t="s">
        <v>74</v>
      </c>
      <c r="AS361" s="1" t="s">
        <v>74</v>
      </c>
      <c r="AT361" s="1" t="s">
        <v>3853</v>
      </c>
      <c r="AU361" s="1">
        <v>2021.0</v>
      </c>
      <c r="AV361" s="1">
        <v>11.0</v>
      </c>
      <c r="AW361" s="1">
        <v>1.0</v>
      </c>
      <c r="AX361" s="1" t="s">
        <v>74</v>
      </c>
      <c r="AY361" s="1" t="s">
        <v>74</v>
      </c>
      <c r="AZ361" s="1" t="s">
        <v>74</v>
      </c>
      <c r="BA361" s="1" t="s">
        <v>74</v>
      </c>
      <c r="BB361" s="1" t="s">
        <v>74</v>
      </c>
      <c r="BC361" s="1" t="s">
        <v>74</v>
      </c>
      <c r="BD361" s="1">
        <v>21329.0</v>
      </c>
      <c r="BE361" s="1" t="s">
        <v>3854</v>
      </c>
      <c r="BF361" s="2" t="str">
        <f>HYPERLINK("http://dx.doi.org/10.1038/s41598-021-00751-3","http://dx.doi.org/10.1038/s41598-021-00751-3")</f>
        <v>http://dx.doi.org/10.1038/s41598-021-00751-3</v>
      </c>
      <c r="BG361" s="1" t="s">
        <v>74</v>
      </c>
      <c r="BH361" s="1" t="s">
        <v>74</v>
      </c>
      <c r="BI361" s="1" t="s">
        <v>74</v>
      </c>
      <c r="BJ361" s="1" t="s">
        <v>74</v>
      </c>
      <c r="BK361" s="1" t="s">
        <v>74</v>
      </c>
      <c r="BL361" s="1" t="s">
        <v>74</v>
      </c>
      <c r="BM361" s="1" t="s">
        <v>74</v>
      </c>
      <c r="BN361" s="1">
        <v>3.4716367E7</v>
      </c>
      <c r="BO361" s="1" t="s">
        <v>74</v>
      </c>
      <c r="BP361" s="1" t="s">
        <v>74</v>
      </c>
      <c r="BQ361" s="1" t="s">
        <v>74</v>
      </c>
      <c r="BR361" s="1" t="s">
        <v>74</v>
      </c>
      <c r="BS361" s="1" t="s">
        <v>3855</v>
      </c>
      <c r="BT361" s="1" t="str">
        <f>HYPERLINK("https%3A%2F%2Fwww.webofscience.com%2Fwos%2Fwoscc%2Ffull-record%2FWOS:000712891800036","View Full Record in Web of Science")</f>
        <v>View Full Record in Web of Science</v>
      </c>
    </row>
    <row r="362" ht="12.75" customHeight="1">
      <c r="A362" s="1" t="s">
        <v>72</v>
      </c>
      <c r="B362" s="1" t="s">
        <v>3856</v>
      </c>
      <c r="C362" s="1" t="s">
        <v>74</v>
      </c>
      <c r="D362" s="1" t="s">
        <v>74</v>
      </c>
      <c r="E362" s="1" t="s">
        <v>74</v>
      </c>
      <c r="F362" s="1" t="s">
        <v>3857</v>
      </c>
      <c r="G362" s="1" t="s">
        <v>74</v>
      </c>
      <c r="H362" s="1" t="s">
        <v>74</v>
      </c>
      <c r="I362" s="1" t="s">
        <v>3858</v>
      </c>
      <c r="J362" s="1" t="s">
        <v>3859</v>
      </c>
      <c r="K362" s="1" t="s">
        <v>74</v>
      </c>
      <c r="L362" s="1" t="s">
        <v>74</v>
      </c>
      <c r="M362" s="1" t="s">
        <v>74</v>
      </c>
      <c r="N362" s="1" t="s">
        <v>74</v>
      </c>
      <c r="O362" s="1" t="s">
        <v>74</v>
      </c>
      <c r="P362" s="1" t="s">
        <v>74</v>
      </c>
      <c r="Q362" s="1" t="s">
        <v>74</v>
      </c>
      <c r="R362" s="1" t="s">
        <v>74</v>
      </c>
      <c r="S362" s="1" t="s">
        <v>74</v>
      </c>
      <c r="T362" s="1" t="s">
        <v>74</v>
      </c>
      <c r="U362" s="1" t="s">
        <v>74</v>
      </c>
      <c r="V362" s="1" t="s">
        <v>3860</v>
      </c>
      <c r="W362" s="1" t="s">
        <v>74</v>
      </c>
      <c r="X362" s="1" t="s">
        <v>74</v>
      </c>
      <c r="Y362" s="1" t="s">
        <v>74</v>
      </c>
      <c r="Z362" s="1" t="s">
        <v>74</v>
      </c>
      <c r="AA362" s="1" t="s">
        <v>3861</v>
      </c>
      <c r="AB362" s="1" t="s">
        <v>3862</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3863</v>
      </c>
      <c r="AP362" s="1" t="s">
        <v>74</v>
      </c>
      <c r="AQ362" s="1" t="s">
        <v>74</v>
      </c>
      <c r="AR362" s="1" t="s">
        <v>74</v>
      </c>
      <c r="AS362" s="1" t="s">
        <v>74</v>
      </c>
      <c r="AT362" s="1" t="s">
        <v>898</v>
      </c>
      <c r="AU362" s="1">
        <v>2021.0</v>
      </c>
      <c r="AV362" s="1">
        <v>9.0</v>
      </c>
      <c r="AW362" s="1">
        <v>34.0</v>
      </c>
      <c r="AX362" s="1" t="s">
        <v>74</v>
      </c>
      <c r="AY362" s="1" t="s">
        <v>74</v>
      </c>
      <c r="AZ362" s="1" t="s">
        <v>74</v>
      </c>
      <c r="BA362" s="1" t="s">
        <v>74</v>
      </c>
      <c r="BB362" s="1">
        <v>11427.0</v>
      </c>
      <c r="BC362" s="1">
        <v>11438.0</v>
      </c>
      <c r="BD362" s="1" t="s">
        <v>74</v>
      </c>
      <c r="BE362" s="1" t="s">
        <v>3864</v>
      </c>
      <c r="BF362" s="2" t="str">
        <f>HYPERLINK("http://dx.doi.org/10.1021/acssuschemeng.1c03528","http://dx.doi.org/10.1021/acssuschemeng.1c03528")</f>
        <v>http://dx.doi.org/10.1021/acssuschemeng.1c03528</v>
      </c>
      <c r="BG362" s="1" t="s">
        <v>74</v>
      </c>
      <c r="BH362" s="1" t="s">
        <v>178</v>
      </c>
      <c r="BI362" s="1" t="s">
        <v>74</v>
      </c>
      <c r="BJ362" s="1" t="s">
        <v>74</v>
      </c>
      <c r="BK362" s="1" t="s">
        <v>74</v>
      </c>
      <c r="BL362" s="1" t="s">
        <v>74</v>
      </c>
      <c r="BM362" s="1" t="s">
        <v>74</v>
      </c>
      <c r="BN362" s="1" t="s">
        <v>74</v>
      </c>
      <c r="BO362" s="1" t="s">
        <v>74</v>
      </c>
      <c r="BP362" s="1" t="s">
        <v>74</v>
      </c>
      <c r="BQ362" s="1" t="s">
        <v>74</v>
      </c>
      <c r="BR362" s="1" t="s">
        <v>74</v>
      </c>
      <c r="BS362" s="1" t="s">
        <v>3865</v>
      </c>
      <c r="BT362" s="1" t="str">
        <f>HYPERLINK("https%3A%2F%2Fwww.webofscience.com%2Fwos%2Fwoscc%2Ffull-record%2FWOS:000692546300012","View Full Record in Web of Science")</f>
        <v>View Full Record in Web of Science</v>
      </c>
    </row>
    <row r="363" ht="12.75" customHeight="1">
      <c r="A363" s="1" t="s">
        <v>72</v>
      </c>
      <c r="B363" s="1" t="s">
        <v>3866</v>
      </c>
      <c r="C363" s="1" t="s">
        <v>74</v>
      </c>
      <c r="D363" s="1" t="s">
        <v>74</v>
      </c>
      <c r="E363" s="1" t="s">
        <v>74</v>
      </c>
      <c r="F363" s="1" t="s">
        <v>3867</v>
      </c>
      <c r="G363" s="1" t="s">
        <v>74</v>
      </c>
      <c r="H363" s="1" t="s">
        <v>74</v>
      </c>
      <c r="I363" s="1" t="s">
        <v>3868</v>
      </c>
      <c r="J363" s="1" t="s">
        <v>1561</v>
      </c>
      <c r="K363" s="1" t="s">
        <v>74</v>
      </c>
      <c r="L363" s="1" t="s">
        <v>74</v>
      </c>
      <c r="M363" s="1" t="s">
        <v>74</v>
      </c>
      <c r="N363" s="1" t="s">
        <v>74</v>
      </c>
      <c r="O363" s="1" t="s">
        <v>74</v>
      </c>
      <c r="P363" s="1" t="s">
        <v>74</v>
      </c>
      <c r="Q363" s="1" t="s">
        <v>74</v>
      </c>
      <c r="R363" s="1" t="s">
        <v>74</v>
      </c>
      <c r="S363" s="1" t="s">
        <v>74</v>
      </c>
      <c r="T363" s="1" t="s">
        <v>74</v>
      </c>
      <c r="U363" s="1" t="s">
        <v>74</v>
      </c>
      <c r="V363" s="1" t="s">
        <v>3869</v>
      </c>
      <c r="W363" s="1" t="s">
        <v>74</v>
      </c>
      <c r="X363" s="1" t="s">
        <v>74</v>
      </c>
      <c r="Y363" s="1" t="s">
        <v>74</v>
      </c>
      <c r="Z363" s="1" t="s">
        <v>74</v>
      </c>
      <c r="AA363" s="1" t="s">
        <v>3870</v>
      </c>
      <c r="AB363" s="1" t="s">
        <v>3871</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1565</v>
      </c>
      <c r="AP363" s="1" t="s">
        <v>74</v>
      </c>
      <c r="AQ363" s="1" t="s">
        <v>74</v>
      </c>
      <c r="AR363" s="1" t="s">
        <v>74</v>
      </c>
      <c r="AS363" s="1" t="s">
        <v>74</v>
      </c>
      <c r="AT363" s="1" t="s">
        <v>3872</v>
      </c>
      <c r="AU363" s="1">
        <v>2021.0</v>
      </c>
      <c r="AV363" s="1">
        <v>12.0</v>
      </c>
      <c r="AW363" s="1" t="s">
        <v>74</v>
      </c>
      <c r="AX363" s="1" t="s">
        <v>74</v>
      </c>
      <c r="AY363" s="1" t="s">
        <v>74</v>
      </c>
      <c r="AZ363" s="1" t="s">
        <v>74</v>
      </c>
      <c r="BA363" s="1" t="s">
        <v>74</v>
      </c>
      <c r="BB363" s="1" t="s">
        <v>74</v>
      </c>
      <c r="BC363" s="1" t="s">
        <v>74</v>
      </c>
      <c r="BD363" s="1">
        <v>633621.0</v>
      </c>
      <c r="BE363" s="1" t="s">
        <v>3873</v>
      </c>
      <c r="BF363" s="2" t="str">
        <f>HYPERLINK("http://dx.doi.org/10.3389/fimmu.2021.633621","http://dx.doi.org/10.3389/fimmu.2021.633621")</f>
        <v>http://dx.doi.org/10.3389/fimmu.2021.633621</v>
      </c>
      <c r="BG363" s="1" t="s">
        <v>74</v>
      </c>
      <c r="BH363" s="1" t="s">
        <v>74</v>
      </c>
      <c r="BI363" s="1" t="s">
        <v>74</v>
      </c>
      <c r="BJ363" s="1" t="s">
        <v>74</v>
      </c>
      <c r="BK363" s="1" t="s">
        <v>74</v>
      </c>
      <c r="BL363" s="1" t="s">
        <v>74</v>
      </c>
      <c r="BM363" s="1" t="s">
        <v>74</v>
      </c>
      <c r="BN363" s="1">
        <v>3.377702E7</v>
      </c>
      <c r="BO363" s="1" t="s">
        <v>74</v>
      </c>
      <c r="BP363" s="1" t="s">
        <v>74</v>
      </c>
      <c r="BQ363" s="1" t="s">
        <v>74</v>
      </c>
      <c r="BR363" s="1" t="s">
        <v>74</v>
      </c>
      <c r="BS363" s="1" t="s">
        <v>3874</v>
      </c>
      <c r="BT363" s="1" t="str">
        <f>HYPERLINK("https%3A%2F%2Fwww.webofscience.com%2Fwos%2Fwoscc%2Ffull-record%2FWOS:000632652700001","View Full Record in Web of Science")</f>
        <v>View Full Record in Web of Science</v>
      </c>
    </row>
    <row r="364" ht="12.75" customHeight="1">
      <c r="A364" s="1" t="s">
        <v>72</v>
      </c>
      <c r="B364" s="1" t="s">
        <v>3875</v>
      </c>
      <c r="C364" s="1" t="s">
        <v>74</v>
      </c>
      <c r="D364" s="1" t="s">
        <v>74</v>
      </c>
      <c r="E364" s="1" t="s">
        <v>74</v>
      </c>
      <c r="F364" s="1" t="s">
        <v>3876</v>
      </c>
      <c r="G364" s="1" t="s">
        <v>74</v>
      </c>
      <c r="H364" s="1" t="s">
        <v>74</v>
      </c>
      <c r="I364" s="1" t="s">
        <v>3877</v>
      </c>
      <c r="J364" s="1" t="s">
        <v>3878</v>
      </c>
      <c r="K364" s="1" t="s">
        <v>74</v>
      </c>
      <c r="L364" s="1" t="s">
        <v>74</v>
      </c>
      <c r="M364" s="1" t="s">
        <v>74</v>
      </c>
      <c r="N364" s="1" t="s">
        <v>74</v>
      </c>
      <c r="O364" s="1" t="s">
        <v>74</v>
      </c>
      <c r="P364" s="1" t="s">
        <v>74</v>
      </c>
      <c r="Q364" s="1" t="s">
        <v>74</v>
      </c>
      <c r="R364" s="1" t="s">
        <v>74</v>
      </c>
      <c r="S364" s="1" t="s">
        <v>74</v>
      </c>
      <c r="T364" s="1" t="s">
        <v>74</v>
      </c>
      <c r="U364" s="1" t="s">
        <v>74</v>
      </c>
      <c r="V364" s="1" t="s">
        <v>3879</v>
      </c>
      <c r="W364" s="1" t="s">
        <v>74</v>
      </c>
      <c r="X364" s="1" t="s">
        <v>74</v>
      </c>
      <c r="Y364" s="1" t="s">
        <v>74</v>
      </c>
      <c r="Z364" s="1" t="s">
        <v>74</v>
      </c>
      <c r="AA364" s="1" t="s">
        <v>3880</v>
      </c>
      <c r="AB364" s="1" t="s">
        <v>3881</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3882</v>
      </c>
      <c r="AP364" s="1" t="s">
        <v>3883</v>
      </c>
      <c r="AQ364" s="1" t="s">
        <v>74</v>
      </c>
      <c r="AR364" s="1" t="s">
        <v>74</v>
      </c>
      <c r="AS364" s="1" t="s">
        <v>74</v>
      </c>
      <c r="AT364" s="1" t="s">
        <v>2628</v>
      </c>
      <c r="AU364" s="1">
        <v>2017.0</v>
      </c>
      <c r="AV364" s="1">
        <v>29.0</v>
      </c>
      <c r="AW364" s="1">
        <v>17.0</v>
      </c>
      <c r="AX364" s="1" t="s">
        <v>74</v>
      </c>
      <c r="AY364" s="1" t="s">
        <v>74</v>
      </c>
      <c r="AZ364" s="1" t="s">
        <v>74</v>
      </c>
      <c r="BA364" s="1" t="s">
        <v>74</v>
      </c>
      <c r="BB364" s="1">
        <v>7305.0</v>
      </c>
      <c r="BC364" s="1">
        <v>7312.0</v>
      </c>
      <c r="BD364" s="1" t="s">
        <v>74</v>
      </c>
      <c r="BE364" s="1" t="s">
        <v>3884</v>
      </c>
      <c r="BF364" s="2" t="str">
        <f>HYPERLINK("http://dx.doi.org/10.1021/acs.chemmater.7b02037","http://dx.doi.org/10.1021/acs.chemmater.7b02037")</f>
        <v>http://dx.doi.org/10.1021/acs.chemmater.7b02037</v>
      </c>
      <c r="BG364" s="1" t="s">
        <v>74</v>
      </c>
      <c r="BH364" s="1" t="s">
        <v>74</v>
      </c>
      <c r="BI364" s="1" t="s">
        <v>74</v>
      </c>
      <c r="BJ364" s="1" t="s">
        <v>74</v>
      </c>
      <c r="BK364" s="1" t="s">
        <v>74</v>
      </c>
      <c r="BL364" s="1" t="s">
        <v>74</v>
      </c>
      <c r="BM364" s="1" t="s">
        <v>74</v>
      </c>
      <c r="BN364" s="1" t="s">
        <v>74</v>
      </c>
      <c r="BO364" s="1" t="s">
        <v>74</v>
      </c>
      <c r="BP364" s="1" t="s">
        <v>74</v>
      </c>
      <c r="BQ364" s="1" t="s">
        <v>74</v>
      </c>
      <c r="BR364" s="1" t="s">
        <v>74</v>
      </c>
      <c r="BS364" s="1" t="s">
        <v>3885</v>
      </c>
      <c r="BT364" s="1" t="str">
        <f>HYPERLINK("https%3A%2F%2Fwww.webofscience.com%2Fwos%2Fwoscc%2Ffull-record%2FWOS:000410868600033","View Full Record in Web of Science")</f>
        <v>View Full Record in Web of Science</v>
      </c>
    </row>
    <row r="365" ht="12.75" customHeight="1">
      <c r="A365" s="1" t="s">
        <v>72</v>
      </c>
      <c r="B365" s="1" t="s">
        <v>3886</v>
      </c>
      <c r="C365" s="1" t="s">
        <v>74</v>
      </c>
      <c r="D365" s="1" t="s">
        <v>74</v>
      </c>
      <c r="E365" s="1" t="s">
        <v>74</v>
      </c>
      <c r="F365" s="1" t="s">
        <v>3887</v>
      </c>
      <c r="G365" s="1" t="s">
        <v>74</v>
      </c>
      <c r="H365" s="1" t="s">
        <v>74</v>
      </c>
      <c r="I365" s="1" t="s">
        <v>3888</v>
      </c>
      <c r="J365" s="1" t="s">
        <v>3889</v>
      </c>
      <c r="K365" s="1" t="s">
        <v>74</v>
      </c>
      <c r="L365" s="1" t="s">
        <v>74</v>
      </c>
      <c r="M365" s="1" t="s">
        <v>74</v>
      </c>
      <c r="N365" s="1" t="s">
        <v>74</v>
      </c>
      <c r="O365" s="1" t="s">
        <v>74</v>
      </c>
      <c r="P365" s="1" t="s">
        <v>74</v>
      </c>
      <c r="Q365" s="1" t="s">
        <v>74</v>
      </c>
      <c r="R365" s="1" t="s">
        <v>74</v>
      </c>
      <c r="S365" s="1" t="s">
        <v>74</v>
      </c>
      <c r="T365" s="1" t="s">
        <v>74</v>
      </c>
      <c r="U365" s="1" t="s">
        <v>74</v>
      </c>
      <c r="V365" s="1" t="s">
        <v>3890</v>
      </c>
      <c r="W365" s="1" t="s">
        <v>74</v>
      </c>
      <c r="X365" s="1" t="s">
        <v>74</v>
      </c>
      <c r="Y365" s="1" t="s">
        <v>74</v>
      </c>
      <c r="Z365" s="1" t="s">
        <v>74</v>
      </c>
      <c r="AA365" s="1" t="s">
        <v>3891</v>
      </c>
      <c r="AB365" s="1" t="s">
        <v>3892</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3893</v>
      </c>
      <c r="AP365" s="1" t="s">
        <v>74</v>
      </c>
      <c r="AQ365" s="1" t="s">
        <v>74</v>
      </c>
      <c r="AR365" s="1" t="s">
        <v>74</v>
      </c>
      <c r="AS365" s="1" t="s">
        <v>74</v>
      </c>
      <c r="AT365" s="1" t="s">
        <v>94</v>
      </c>
      <c r="AU365" s="1">
        <v>2013.0</v>
      </c>
      <c r="AV365" s="1">
        <v>58.0</v>
      </c>
      <c r="AW365" s="1">
        <v>4.0</v>
      </c>
      <c r="AX365" s="1" t="s">
        <v>74</v>
      </c>
      <c r="AY365" s="1" t="s">
        <v>74</v>
      </c>
      <c r="AZ365" s="1" t="s">
        <v>74</v>
      </c>
      <c r="BA365" s="1" t="s">
        <v>74</v>
      </c>
      <c r="BB365" s="1">
        <v>2011.0</v>
      </c>
      <c r="BC365" s="1">
        <v>2015.0</v>
      </c>
      <c r="BD365" s="1" t="s">
        <v>74</v>
      </c>
      <c r="BE365" s="1" t="s">
        <v>3894</v>
      </c>
      <c r="BF365" s="2" t="str">
        <f>HYPERLINK("http://dx.doi.org/10.4067/S0717-97072013000400023","http://dx.doi.org/10.4067/S0717-97072013000400023")</f>
        <v>http://dx.doi.org/10.4067/S0717-97072013000400023</v>
      </c>
      <c r="BG365" s="1" t="s">
        <v>74</v>
      </c>
      <c r="BH365" s="1" t="s">
        <v>74</v>
      </c>
      <c r="BI365" s="1" t="s">
        <v>74</v>
      </c>
      <c r="BJ365" s="1" t="s">
        <v>74</v>
      </c>
      <c r="BK365" s="1" t="s">
        <v>74</v>
      </c>
      <c r="BL365" s="1" t="s">
        <v>74</v>
      </c>
      <c r="BM365" s="1" t="s">
        <v>74</v>
      </c>
      <c r="BN365" s="1" t="s">
        <v>74</v>
      </c>
      <c r="BO365" s="1" t="s">
        <v>74</v>
      </c>
      <c r="BP365" s="1" t="s">
        <v>74</v>
      </c>
      <c r="BQ365" s="1" t="s">
        <v>74</v>
      </c>
      <c r="BR365" s="1" t="s">
        <v>74</v>
      </c>
      <c r="BS365" s="1" t="s">
        <v>3895</v>
      </c>
      <c r="BT365" s="1" t="str">
        <f>HYPERLINK("https%3A%2F%2Fwww.webofscience.com%2Fwos%2Fwoscc%2Ffull-record%2FWOS:000331238800019","View Full Record in Web of Science")</f>
        <v>View Full Record in Web of Science</v>
      </c>
    </row>
    <row r="366" ht="12.75" customHeight="1">
      <c r="A366" s="1" t="s">
        <v>72</v>
      </c>
      <c r="B366" s="1" t="s">
        <v>3896</v>
      </c>
      <c r="C366" s="1" t="s">
        <v>74</v>
      </c>
      <c r="D366" s="1" t="s">
        <v>74</v>
      </c>
      <c r="E366" s="1" t="s">
        <v>74</v>
      </c>
      <c r="F366" s="1" t="s">
        <v>3897</v>
      </c>
      <c r="G366" s="1" t="s">
        <v>74</v>
      </c>
      <c r="H366" s="1" t="s">
        <v>74</v>
      </c>
      <c r="I366" s="1" t="s">
        <v>3898</v>
      </c>
      <c r="J366" s="1" t="s">
        <v>3899</v>
      </c>
      <c r="K366" s="1" t="s">
        <v>74</v>
      </c>
      <c r="L366" s="1" t="s">
        <v>74</v>
      </c>
      <c r="M366" s="1" t="s">
        <v>74</v>
      </c>
      <c r="N366" s="1" t="s">
        <v>74</v>
      </c>
      <c r="O366" s="1" t="s">
        <v>74</v>
      </c>
      <c r="P366" s="1" t="s">
        <v>74</v>
      </c>
      <c r="Q366" s="1" t="s">
        <v>74</v>
      </c>
      <c r="R366" s="1" t="s">
        <v>74</v>
      </c>
      <c r="S366" s="1" t="s">
        <v>74</v>
      </c>
      <c r="T366" s="1" t="s">
        <v>74</v>
      </c>
      <c r="U366" s="1" t="s">
        <v>74</v>
      </c>
      <c r="V366" s="1" t="s">
        <v>3900</v>
      </c>
      <c r="W366" s="1" t="s">
        <v>74</v>
      </c>
      <c r="X366" s="1" t="s">
        <v>74</v>
      </c>
      <c r="Y366" s="1" t="s">
        <v>74</v>
      </c>
      <c r="Z366" s="1" t="s">
        <v>74</v>
      </c>
      <c r="AA366" s="1" t="s">
        <v>3901</v>
      </c>
      <c r="AB366" s="1" t="s">
        <v>74</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3902</v>
      </c>
      <c r="AP366" s="1" t="s">
        <v>3903</v>
      </c>
      <c r="AQ366" s="1" t="s">
        <v>74</v>
      </c>
      <c r="AR366" s="1" t="s">
        <v>74</v>
      </c>
      <c r="AS366" s="1" t="s">
        <v>74</v>
      </c>
      <c r="AT366" s="1" t="s">
        <v>392</v>
      </c>
      <c r="AU366" s="1">
        <v>2025.0</v>
      </c>
      <c r="AV366" s="1">
        <v>300.0</v>
      </c>
      <c r="AW366" s="1" t="s">
        <v>74</v>
      </c>
      <c r="AX366" s="1" t="s">
        <v>74</v>
      </c>
      <c r="AY366" s="1" t="s">
        <v>74</v>
      </c>
      <c r="AZ366" s="1" t="s">
        <v>74</v>
      </c>
      <c r="BA366" s="1" t="s">
        <v>74</v>
      </c>
      <c r="BB366" s="1" t="s">
        <v>74</v>
      </c>
      <c r="BC366" s="1" t="s">
        <v>74</v>
      </c>
      <c r="BD366" s="1">
        <v>140222.0</v>
      </c>
      <c r="BE366" s="1" t="s">
        <v>3904</v>
      </c>
      <c r="BF366" s="2" t="str">
        <f>HYPERLINK("http://dx.doi.org/10.1016/j.ijbiomac.2025.140222","http://dx.doi.org/10.1016/j.ijbiomac.2025.140222")</f>
        <v>http://dx.doi.org/10.1016/j.ijbiomac.2025.140222</v>
      </c>
      <c r="BG366" s="1" t="s">
        <v>74</v>
      </c>
      <c r="BH366" s="1" t="s">
        <v>2726</v>
      </c>
      <c r="BI366" s="1" t="s">
        <v>74</v>
      </c>
      <c r="BJ366" s="1" t="s">
        <v>74</v>
      </c>
      <c r="BK366" s="1" t="s">
        <v>74</v>
      </c>
      <c r="BL366" s="1" t="s">
        <v>74</v>
      </c>
      <c r="BM366" s="1" t="s">
        <v>74</v>
      </c>
      <c r="BN366" s="1">
        <v>3.985551E7</v>
      </c>
      <c r="BO366" s="1" t="s">
        <v>74</v>
      </c>
      <c r="BP366" s="1" t="s">
        <v>74</v>
      </c>
      <c r="BQ366" s="1" t="s">
        <v>74</v>
      </c>
      <c r="BR366" s="1" t="s">
        <v>74</v>
      </c>
      <c r="BS366" s="1" t="s">
        <v>3905</v>
      </c>
      <c r="BT366" s="1" t="str">
        <f>HYPERLINK("https%3A%2F%2Fwww.webofscience.com%2Fwos%2Fwoscc%2Ffull-record%2FWOS:001413978000001","View Full Record in Web of Science")</f>
        <v>View Full Record in Web of Science</v>
      </c>
    </row>
    <row r="367" ht="12.75" customHeight="1">
      <c r="A367" s="1" t="s">
        <v>72</v>
      </c>
      <c r="B367" s="1" t="s">
        <v>3810</v>
      </c>
      <c r="C367" s="1" t="s">
        <v>74</v>
      </c>
      <c r="D367" s="1" t="s">
        <v>74</v>
      </c>
      <c r="E367" s="1" t="s">
        <v>74</v>
      </c>
      <c r="F367" s="1" t="s">
        <v>3906</v>
      </c>
      <c r="G367" s="1" t="s">
        <v>74</v>
      </c>
      <c r="H367" s="1" t="s">
        <v>74</v>
      </c>
      <c r="I367" s="1" t="s">
        <v>3907</v>
      </c>
      <c r="J367" s="1" t="s">
        <v>1121</v>
      </c>
      <c r="K367" s="1" t="s">
        <v>74</v>
      </c>
      <c r="L367" s="1" t="s">
        <v>74</v>
      </c>
      <c r="M367" s="1" t="s">
        <v>74</v>
      </c>
      <c r="N367" s="1" t="s">
        <v>74</v>
      </c>
      <c r="O367" s="1" t="s">
        <v>74</v>
      </c>
      <c r="P367" s="1" t="s">
        <v>74</v>
      </c>
      <c r="Q367" s="1" t="s">
        <v>74</v>
      </c>
      <c r="R367" s="1" t="s">
        <v>74</v>
      </c>
      <c r="S367" s="1" t="s">
        <v>74</v>
      </c>
      <c r="T367" s="1" t="s">
        <v>74</v>
      </c>
      <c r="U367" s="1" t="s">
        <v>74</v>
      </c>
      <c r="V367" s="1" t="s">
        <v>74</v>
      </c>
      <c r="W367" s="1" t="s">
        <v>74</v>
      </c>
      <c r="X367" s="1" t="s">
        <v>74</v>
      </c>
      <c r="Y367" s="1" t="s">
        <v>74</v>
      </c>
      <c r="Z367" s="1" t="s">
        <v>74</v>
      </c>
      <c r="AA367" s="1" t="s">
        <v>3908</v>
      </c>
      <c r="AB367" s="1" t="s">
        <v>74</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74</v>
      </c>
      <c r="AP367" s="1" t="s">
        <v>1125</v>
      </c>
      <c r="AQ367" s="1" t="s">
        <v>74</v>
      </c>
      <c r="AR367" s="1" t="s">
        <v>74</v>
      </c>
      <c r="AS367" s="1" t="s">
        <v>74</v>
      </c>
      <c r="AT367" s="1" t="s">
        <v>2508</v>
      </c>
      <c r="AU367" s="1">
        <v>2024.0</v>
      </c>
      <c r="AV367" s="1">
        <v>15.0</v>
      </c>
      <c r="AW367" s="1" t="s">
        <v>74</v>
      </c>
      <c r="AX367" s="1" t="s">
        <v>74</v>
      </c>
      <c r="AY367" s="1" t="s">
        <v>74</v>
      </c>
      <c r="AZ367" s="1" t="s">
        <v>74</v>
      </c>
      <c r="BA367" s="1" t="s">
        <v>74</v>
      </c>
      <c r="BB367" s="1" t="s">
        <v>74</v>
      </c>
      <c r="BC367" s="1" t="s">
        <v>74</v>
      </c>
      <c r="BD367" s="1">
        <v>1447631.0</v>
      </c>
      <c r="BE367" s="1" t="s">
        <v>3909</v>
      </c>
      <c r="BF367" s="2" t="str">
        <f>HYPERLINK("http://dx.doi.org/10.3389/fphys.2024.1447631","http://dx.doi.org/10.3389/fphys.2024.1447631")</f>
        <v>http://dx.doi.org/10.3389/fphys.2024.1447631</v>
      </c>
      <c r="BG367" s="1" t="s">
        <v>74</v>
      </c>
      <c r="BH367" s="1" t="s">
        <v>74</v>
      </c>
      <c r="BI367" s="1" t="s">
        <v>74</v>
      </c>
      <c r="BJ367" s="1" t="s">
        <v>74</v>
      </c>
      <c r="BK367" s="1" t="s">
        <v>74</v>
      </c>
      <c r="BL367" s="1" t="s">
        <v>74</v>
      </c>
      <c r="BM367" s="1" t="s">
        <v>74</v>
      </c>
      <c r="BN367" s="1">
        <v>3.9055688E7</v>
      </c>
      <c r="BO367" s="1" t="s">
        <v>74</v>
      </c>
      <c r="BP367" s="1" t="s">
        <v>74</v>
      </c>
      <c r="BQ367" s="1" t="s">
        <v>74</v>
      </c>
      <c r="BR367" s="1" t="s">
        <v>74</v>
      </c>
      <c r="BS367" s="1" t="s">
        <v>3910</v>
      </c>
      <c r="BT367" s="1" t="str">
        <f>HYPERLINK("https%3A%2F%2Fwww.webofscience.com%2Fwos%2Fwoscc%2Ffull-record%2FWOS:001276442900001","View Full Record in Web of Science")</f>
        <v>View Full Record in Web of Science</v>
      </c>
    </row>
    <row r="368" ht="12.75" customHeight="1">
      <c r="A368" s="1" t="s">
        <v>72</v>
      </c>
      <c r="B368" s="1" t="s">
        <v>3911</v>
      </c>
      <c r="C368" s="1" t="s">
        <v>74</v>
      </c>
      <c r="D368" s="1" t="s">
        <v>74</v>
      </c>
      <c r="E368" s="1" t="s">
        <v>74</v>
      </c>
      <c r="F368" s="1" t="s">
        <v>3912</v>
      </c>
      <c r="G368" s="1" t="s">
        <v>74</v>
      </c>
      <c r="H368" s="1" t="s">
        <v>74</v>
      </c>
      <c r="I368" s="1" t="s">
        <v>3913</v>
      </c>
      <c r="J368" s="1" t="s">
        <v>3914</v>
      </c>
      <c r="K368" s="1" t="s">
        <v>74</v>
      </c>
      <c r="L368" s="1" t="s">
        <v>74</v>
      </c>
      <c r="M368" s="1" t="s">
        <v>74</v>
      </c>
      <c r="N368" s="1" t="s">
        <v>74</v>
      </c>
      <c r="O368" s="1" t="s">
        <v>74</v>
      </c>
      <c r="P368" s="1" t="s">
        <v>74</v>
      </c>
      <c r="Q368" s="1" t="s">
        <v>74</v>
      </c>
      <c r="R368" s="1" t="s">
        <v>74</v>
      </c>
      <c r="S368" s="1" t="s">
        <v>74</v>
      </c>
      <c r="T368" s="1" t="s">
        <v>74</v>
      </c>
      <c r="U368" s="1" t="s">
        <v>74</v>
      </c>
      <c r="V368" s="1" t="s">
        <v>3915</v>
      </c>
      <c r="W368" s="1" t="s">
        <v>74</v>
      </c>
      <c r="X368" s="1" t="s">
        <v>74</v>
      </c>
      <c r="Y368" s="1" t="s">
        <v>74</v>
      </c>
      <c r="Z368" s="1" t="s">
        <v>74</v>
      </c>
      <c r="AA368" s="1" t="s">
        <v>3916</v>
      </c>
      <c r="AB368" s="1" t="s">
        <v>3917</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3918</v>
      </c>
      <c r="AP368" s="1" t="s">
        <v>3919</v>
      </c>
      <c r="AQ368" s="1" t="s">
        <v>74</v>
      </c>
      <c r="AR368" s="1" t="s">
        <v>74</v>
      </c>
      <c r="AS368" s="1" t="s">
        <v>74</v>
      </c>
      <c r="AT368" s="1" t="s">
        <v>3920</v>
      </c>
      <c r="AU368" s="1">
        <v>2023.0</v>
      </c>
      <c r="AV368" s="1">
        <v>62.0</v>
      </c>
      <c r="AW368" s="1" t="s">
        <v>74</v>
      </c>
      <c r="AX368" s="1" t="s">
        <v>74</v>
      </c>
      <c r="AY368" s="1" t="s">
        <v>74</v>
      </c>
      <c r="AZ368" s="1" t="s">
        <v>74</v>
      </c>
      <c r="BA368" s="1" t="s">
        <v>74</v>
      </c>
      <c r="BB368" s="1">
        <v>1021.0</v>
      </c>
      <c r="BC368" s="1">
        <v>1050.0</v>
      </c>
      <c r="BD368" s="1" t="s">
        <v>74</v>
      </c>
      <c r="BE368" s="1" t="s">
        <v>3921</v>
      </c>
      <c r="BF368" s="2" t="str">
        <f>HYPERLINK("http://dx.doi.org/10.5380/dma.v62i0.90418","http://dx.doi.org/10.5380/dma.v62i0.90418")</f>
        <v>http://dx.doi.org/10.5380/dma.v62i0.90418</v>
      </c>
      <c r="BG368" s="1" t="s">
        <v>74</v>
      </c>
      <c r="BH368" s="1" t="s">
        <v>74</v>
      </c>
      <c r="BI368" s="1" t="s">
        <v>74</v>
      </c>
      <c r="BJ368" s="1" t="s">
        <v>74</v>
      </c>
      <c r="BK368" s="1" t="s">
        <v>74</v>
      </c>
      <c r="BL368" s="1" t="s">
        <v>74</v>
      </c>
      <c r="BM368" s="1" t="s">
        <v>74</v>
      </c>
      <c r="BN368" s="1" t="s">
        <v>74</v>
      </c>
      <c r="BO368" s="1" t="s">
        <v>74</v>
      </c>
      <c r="BP368" s="1" t="s">
        <v>74</v>
      </c>
      <c r="BQ368" s="1" t="s">
        <v>74</v>
      </c>
      <c r="BR368" s="1" t="s">
        <v>74</v>
      </c>
      <c r="BS368" s="1" t="s">
        <v>3922</v>
      </c>
      <c r="BT368" s="1" t="str">
        <f>HYPERLINK("https%3A%2F%2Fwww.webofscience.com%2Fwos%2Fwoscc%2Ffull-record%2FWOS:001104140200017","View Full Record in Web of Science")</f>
        <v>View Full Record in Web of Science</v>
      </c>
    </row>
    <row r="369" ht="12.75" customHeight="1">
      <c r="A369" s="1" t="s">
        <v>72</v>
      </c>
      <c r="B369" s="1" t="s">
        <v>3923</v>
      </c>
      <c r="C369" s="1" t="s">
        <v>74</v>
      </c>
      <c r="D369" s="1" t="s">
        <v>74</v>
      </c>
      <c r="E369" s="1" t="s">
        <v>74</v>
      </c>
      <c r="F369" s="1" t="s">
        <v>3924</v>
      </c>
      <c r="G369" s="1" t="s">
        <v>74</v>
      </c>
      <c r="H369" s="1" t="s">
        <v>74</v>
      </c>
      <c r="I369" s="1" t="s">
        <v>3925</v>
      </c>
      <c r="J369" s="1" t="s">
        <v>3926</v>
      </c>
      <c r="K369" s="1" t="s">
        <v>74</v>
      </c>
      <c r="L369" s="1" t="s">
        <v>74</v>
      </c>
      <c r="M369" s="1" t="s">
        <v>74</v>
      </c>
      <c r="N369" s="1" t="s">
        <v>74</v>
      </c>
      <c r="O369" s="1" t="s">
        <v>74</v>
      </c>
      <c r="P369" s="1" t="s">
        <v>74</v>
      </c>
      <c r="Q369" s="1" t="s">
        <v>74</v>
      </c>
      <c r="R369" s="1" t="s">
        <v>74</v>
      </c>
      <c r="S369" s="1" t="s">
        <v>74</v>
      </c>
      <c r="T369" s="1" t="s">
        <v>74</v>
      </c>
      <c r="U369" s="1" t="s">
        <v>74</v>
      </c>
      <c r="V369" s="1" t="s">
        <v>3927</v>
      </c>
      <c r="W369" s="1" t="s">
        <v>74</v>
      </c>
      <c r="X369" s="1" t="s">
        <v>74</v>
      </c>
      <c r="Y369" s="1" t="s">
        <v>74</v>
      </c>
      <c r="Z369" s="1" t="s">
        <v>74</v>
      </c>
      <c r="AA369" s="1" t="s">
        <v>3928</v>
      </c>
      <c r="AB369" s="1" t="s">
        <v>3929</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3930</v>
      </c>
      <c r="AP369" s="1" t="s">
        <v>3931</v>
      </c>
      <c r="AQ369" s="1" t="s">
        <v>74</v>
      </c>
      <c r="AR369" s="1" t="s">
        <v>74</v>
      </c>
      <c r="AS369" s="1" t="s">
        <v>74</v>
      </c>
      <c r="AT369" s="1" t="s">
        <v>202</v>
      </c>
      <c r="AU369" s="1">
        <v>2023.0</v>
      </c>
      <c r="AV369" s="1">
        <v>104.0</v>
      </c>
      <c r="AW369" s="1">
        <v>6.0</v>
      </c>
      <c r="AX369" s="1" t="s">
        <v>74</v>
      </c>
      <c r="AY369" s="1" t="s">
        <v>74</v>
      </c>
      <c r="AZ369" s="1" t="s">
        <v>74</v>
      </c>
      <c r="BA369" s="1" t="s">
        <v>74</v>
      </c>
      <c r="BB369" s="1" t="s">
        <v>3932</v>
      </c>
      <c r="BC369" s="1" t="s">
        <v>3933</v>
      </c>
      <c r="BD369" s="1" t="s">
        <v>74</v>
      </c>
      <c r="BE369" s="1" t="s">
        <v>3934</v>
      </c>
      <c r="BF369" s="2" t="str">
        <f>HYPERLINK("http://dx.doi.org/10.1175/BAMS-D-22-0215.1","http://dx.doi.org/10.1175/BAMS-D-22-0215.1")</f>
        <v>http://dx.doi.org/10.1175/BAMS-D-22-0215.1</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3935</v>
      </c>
      <c r="BT369" s="1" t="str">
        <f>HYPERLINK("https%3A%2F%2Fwww.webofscience.com%2Fwos%2Fwoscc%2Ffull-record%2FWOS:001025739900001","View Full Record in Web of Science")</f>
        <v>View Full Record in Web of Science</v>
      </c>
    </row>
    <row r="370" ht="12.75" customHeight="1">
      <c r="A370" s="1" t="s">
        <v>72</v>
      </c>
      <c r="B370" s="1" t="s">
        <v>3936</v>
      </c>
      <c r="C370" s="1" t="s">
        <v>74</v>
      </c>
      <c r="D370" s="1" t="s">
        <v>74</v>
      </c>
      <c r="E370" s="1" t="s">
        <v>74</v>
      </c>
      <c r="F370" s="1" t="s">
        <v>3937</v>
      </c>
      <c r="G370" s="1" t="s">
        <v>74</v>
      </c>
      <c r="H370" s="1" t="s">
        <v>74</v>
      </c>
      <c r="I370" s="1" t="s">
        <v>3938</v>
      </c>
      <c r="J370" s="1" t="s">
        <v>3288</v>
      </c>
      <c r="K370" s="1" t="s">
        <v>74</v>
      </c>
      <c r="L370" s="1" t="s">
        <v>74</v>
      </c>
      <c r="M370" s="1" t="s">
        <v>74</v>
      </c>
      <c r="N370" s="1" t="s">
        <v>74</v>
      </c>
      <c r="O370" s="1" t="s">
        <v>74</v>
      </c>
      <c r="P370" s="1" t="s">
        <v>74</v>
      </c>
      <c r="Q370" s="1" t="s">
        <v>74</v>
      </c>
      <c r="R370" s="1" t="s">
        <v>74</v>
      </c>
      <c r="S370" s="1" t="s">
        <v>74</v>
      </c>
      <c r="T370" s="1" t="s">
        <v>74</v>
      </c>
      <c r="U370" s="1" t="s">
        <v>74</v>
      </c>
      <c r="V370" s="1" t="s">
        <v>3939</v>
      </c>
      <c r="W370" s="1" t="s">
        <v>74</v>
      </c>
      <c r="X370" s="1" t="s">
        <v>74</v>
      </c>
      <c r="Y370" s="1" t="s">
        <v>74</v>
      </c>
      <c r="Z370" s="1" t="s">
        <v>74</v>
      </c>
      <c r="AA370" s="1" t="s">
        <v>3940</v>
      </c>
      <c r="AB370" s="1" t="s">
        <v>3941</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74</v>
      </c>
      <c r="AP370" s="1" t="s">
        <v>3292</v>
      </c>
      <c r="AQ370" s="1" t="s">
        <v>74</v>
      </c>
      <c r="AR370" s="1" t="s">
        <v>74</v>
      </c>
      <c r="AS370" s="1" t="s">
        <v>74</v>
      </c>
      <c r="AT370" s="1" t="s">
        <v>214</v>
      </c>
      <c r="AU370" s="1">
        <v>2022.0</v>
      </c>
      <c r="AV370" s="1">
        <v>11.0</v>
      </c>
      <c r="AW370" s="1">
        <v>2.0</v>
      </c>
      <c r="AX370" s="1" t="s">
        <v>74</v>
      </c>
      <c r="AY370" s="1" t="s">
        <v>74</v>
      </c>
      <c r="AZ370" s="1" t="s">
        <v>74</v>
      </c>
      <c r="BA370" s="1" t="s">
        <v>74</v>
      </c>
      <c r="BB370" s="1" t="s">
        <v>74</v>
      </c>
      <c r="BC370" s="1" t="s">
        <v>74</v>
      </c>
      <c r="BD370" s="1">
        <v>174.0</v>
      </c>
      <c r="BE370" s="1" t="s">
        <v>3942</v>
      </c>
      <c r="BF370" s="2" t="str">
        <f>HYPERLINK("http://dx.doi.org/10.3390/biology11020174","http://dx.doi.org/10.3390/biology11020174")</f>
        <v>http://dx.doi.org/10.3390/biology11020174</v>
      </c>
      <c r="BG370" s="1" t="s">
        <v>74</v>
      </c>
      <c r="BH370" s="1" t="s">
        <v>74</v>
      </c>
      <c r="BI370" s="1" t="s">
        <v>74</v>
      </c>
      <c r="BJ370" s="1" t="s">
        <v>74</v>
      </c>
      <c r="BK370" s="1" t="s">
        <v>74</v>
      </c>
      <c r="BL370" s="1" t="s">
        <v>74</v>
      </c>
      <c r="BM370" s="1" t="s">
        <v>74</v>
      </c>
      <c r="BN370" s="1">
        <v>3.5205041E7</v>
      </c>
      <c r="BO370" s="1" t="s">
        <v>74</v>
      </c>
      <c r="BP370" s="1" t="s">
        <v>74</v>
      </c>
      <c r="BQ370" s="1" t="s">
        <v>74</v>
      </c>
      <c r="BR370" s="1" t="s">
        <v>74</v>
      </c>
      <c r="BS370" s="1" t="s">
        <v>3943</v>
      </c>
      <c r="BT370" s="1" t="str">
        <f>HYPERLINK("https%3A%2F%2Fwww.webofscience.com%2Fwos%2Fwoscc%2Ffull-record%2FWOS:000761410400001","View Full Record in Web of Science")</f>
        <v>View Full Record in Web of Science</v>
      </c>
    </row>
    <row r="371" ht="12.75" customHeight="1">
      <c r="A371" s="1" t="s">
        <v>2882</v>
      </c>
      <c r="B371" s="1" t="s">
        <v>3944</v>
      </c>
      <c r="C371" s="1" t="s">
        <v>74</v>
      </c>
      <c r="D371" s="1" t="s">
        <v>3945</v>
      </c>
      <c r="E371" s="1" t="s">
        <v>74</v>
      </c>
      <c r="F371" s="1" t="s">
        <v>3946</v>
      </c>
      <c r="G371" s="1" t="s">
        <v>74</v>
      </c>
      <c r="H371" s="1" t="s">
        <v>74</v>
      </c>
      <c r="I371" s="1" t="s">
        <v>3947</v>
      </c>
      <c r="J371" s="1" t="s">
        <v>3948</v>
      </c>
      <c r="K371" s="1" t="s">
        <v>3949</v>
      </c>
      <c r="L371" s="1" t="s">
        <v>74</v>
      </c>
      <c r="M371" s="1" t="s">
        <v>74</v>
      </c>
      <c r="N371" s="1" t="s">
        <v>74</v>
      </c>
      <c r="O371" s="1" t="s">
        <v>74</v>
      </c>
      <c r="P371" s="1" t="s">
        <v>74</v>
      </c>
      <c r="Q371" s="1" t="s">
        <v>74</v>
      </c>
      <c r="R371" s="1" t="s">
        <v>74</v>
      </c>
      <c r="S371" s="1" t="s">
        <v>74</v>
      </c>
      <c r="T371" s="1" t="s">
        <v>74</v>
      </c>
      <c r="U371" s="1" t="s">
        <v>74</v>
      </c>
      <c r="V371" s="1" t="s">
        <v>74</v>
      </c>
      <c r="W371" s="1" t="s">
        <v>74</v>
      </c>
      <c r="X371" s="1" t="s">
        <v>74</v>
      </c>
      <c r="Y371" s="1" t="s">
        <v>74</v>
      </c>
      <c r="Z371" s="1" t="s">
        <v>74</v>
      </c>
      <c r="AA371" s="1" t="s">
        <v>74</v>
      </c>
      <c r="AB371" s="1" t="s">
        <v>74</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74</v>
      </c>
      <c r="AP371" s="1" t="s">
        <v>74</v>
      </c>
      <c r="AQ371" s="1" t="s">
        <v>3950</v>
      </c>
      <c r="AR371" s="1" t="s">
        <v>74</v>
      </c>
      <c r="AS371" s="1" t="s">
        <v>74</v>
      </c>
      <c r="AT371" s="1" t="s">
        <v>74</v>
      </c>
      <c r="AU371" s="1">
        <v>2021.0</v>
      </c>
      <c r="AV371" s="1" t="s">
        <v>74</v>
      </c>
      <c r="AW371" s="1" t="s">
        <v>74</v>
      </c>
      <c r="AX371" s="1" t="s">
        <v>74</v>
      </c>
      <c r="AY371" s="1" t="s">
        <v>74</v>
      </c>
      <c r="AZ371" s="1" t="s">
        <v>74</v>
      </c>
      <c r="BA371" s="1" t="s">
        <v>74</v>
      </c>
      <c r="BB371" s="1">
        <v>211.0</v>
      </c>
      <c r="BC371" s="1">
        <v>222.0</v>
      </c>
      <c r="BD371" s="1" t="s">
        <v>74</v>
      </c>
      <c r="BE371" s="1" t="s">
        <v>74</v>
      </c>
      <c r="BF371" s="1" t="s">
        <v>74</v>
      </c>
      <c r="BG371" s="1" t="s">
        <v>74</v>
      </c>
      <c r="BH371" s="1" t="s">
        <v>74</v>
      </c>
      <c r="BI371" s="1" t="s">
        <v>74</v>
      </c>
      <c r="BJ371" s="1" t="s">
        <v>74</v>
      </c>
      <c r="BK371" s="1" t="s">
        <v>74</v>
      </c>
      <c r="BL371" s="1" t="s">
        <v>74</v>
      </c>
      <c r="BM371" s="1" t="s">
        <v>74</v>
      </c>
      <c r="BN371" s="1" t="s">
        <v>74</v>
      </c>
      <c r="BO371" s="1" t="s">
        <v>74</v>
      </c>
      <c r="BP371" s="1" t="s">
        <v>74</v>
      </c>
      <c r="BQ371" s="1" t="s">
        <v>74</v>
      </c>
      <c r="BR371" s="1" t="s">
        <v>74</v>
      </c>
      <c r="BS371" s="1" t="s">
        <v>3951</v>
      </c>
      <c r="BT371" s="1" t="str">
        <f>HYPERLINK("https%3A%2F%2Fwww.webofscience.com%2Fwos%2Fwoscc%2Ffull-record%2FWOS:001057228800014","View Full Record in Web of Science")</f>
        <v>View Full Record in Web of Science</v>
      </c>
    </row>
    <row r="372" ht="12.75" customHeight="1">
      <c r="A372" s="1" t="s">
        <v>72</v>
      </c>
      <c r="B372" s="1" t="s">
        <v>3952</v>
      </c>
      <c r="C372" s="1" t="s">
        <v>74</v>
      </c>
      <c r="D372" s="1" t="s">
        <v>74</v>
      </c>
      <c r="E372" s="1" t="s">
        <v>74</v>
      </c>
      <c r="F372" s="1" t="s">
        <v>3953</v>
      </c>
      <c r="G372" s="1" t="s">
        <v>74</v>
      </c>
      <c r="H372" s="1" t="s">
        <v>74</v>
      </c>
      <c r="I372" s="1" t="s">
        <v>3954</v>
      </c>
      <c r="J372" s="1" t="s">
        <v>3955</v>
      </c>
      <c r="K372" s="1" t="s">
        <v>74</v>
      </c>
      <c r="L372" s="1" t="s">
        <v>74</v>
      </c>
      <c r="M372" s="1" t="s">
        <v>74</v>
      </c>
      <c r="N372" s="1" t="s">
        <v>74</v>
      </c>
      <c r="O372" s="1" t="s">
        <v>74</v>
      </c>
      <c r="P372" s="1" t="s">
        <v>74</v>
      </c>
      <c r="Q372" s="1" t="s">
        <v>74</v>
      </c>
      <c r="R372" s="1" t="s">
        <v>74</v>
      </c>
      <c r="S372" s="1" t="s">
        <v>74</v>
      </c>
      <c r="T372" s="1" t="s">
        <v>74</v>
      </c>
      <c r="U372" s="1" t="s">
        <v>74</v>
      </c>
      <c r="V372" s="1" t="s">
        <v>3956</v>
      </c>
      <c r="W372" s="1" t="s">
        <v>74</v>
      </c>
      <c r="X372" s="1" t="s">
        <v>74</v>
      </c>
      <c r="Y372" s="1" t="s">
        <v>74</v>
      </c>
      <c r="Z372" s="1" t="s">
        <v>74</v>
      </c>
      <c r="AA372" s="1" t="s">
        <v>3957</v>
      </c>
      <c r="AB372" s="1" t="s">
        <v>3958</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3959</v>
      </c>
      <c r="AP372" s="1" t="s">
        <v>3960</v>
      </c>
      <c r="AQ372" s="1" t="s">
        <v>74</v>
      </c>
      <c r="AR372" s="1" t="s">
        <v>74</v>
      </c>
      <c r="AS372" s="1" t="s">
        <v>74</v>
      </c>
      <c r="AT372" s="1" t="s">
        <v>447</v>
      </c>
      <c r="AU372" s="1">
        <v>2018.0</v>
      </c>
      <c r="AV372" s="1">
        <v>31.0</v>
      </c>
      <c r="AW372" s="1">
        <v>4.0</v>
      </c>
      <c r="AX372" s="1" t="s">
        <v>74</v>
      </c>
      <c r="AY372" s="1" t="s">
        <v>74</v>
      </c>
      <c r="AZ372" s="1" t="s">
        <v>74</v>
      </c>
      <c r="BA372" s="1" t="s">
        <v>74</v>
      </c>
      <c r="BB372" s="1">
        <v>517.0</v>
      </c>
      <c r="BC372" s="1">
        <v>525.0</v>
      </c>
      <c r="BD372" s="1" t="s">
        <v>74</v>
      </c>
      <c r="BE372" s="1" t="s">
        <v>3961</v>
      </c>
      <c r="BF372" s="2" t="str">
        <f>HYPERLINK("http://dx.doi.org/10.1007/s10534-018-0097-3","http://dx.doi.org/10.1007/s10534-018-0097-3")</f>
        <v>http://dx.doi.org/10.1007/s10534-018-0097-3</v>
      </c>
      <c r="BG372" s="1" t="s">
        <v>74</v>
      </c>
      <c r="BH372" s="1" t="s">
        <v>74</v>
      </c>
      <c r="BI372" s="1" t="s">
        <v>74</v>
      </c>
      <c r="BJ372" s="1" t="s">
        <v>74</v>
      </c>
      <c r="BK372" s="1" t="s">
        <v>74</v>
      </c>
      <c r="BL372" s="1" t="s">
        <v>74</v>
      </c>
      <c r="BM372" s="1" t="s">
        <v>74</v>
      </c>
      <c r="BN372" s="1">
        <v>2.9574625E7</v>
      </c>
      <c r="BO372" s="1" t="s">
        <v>74</v>
      </c>
      <c r="BP372" s="1" t="s">
        <v>74</v>
      </c>
      <c r="BQ372" s="1" t="s">
        <v>74</v>
      </c>
      <c r="BR372" s="1" t="s">
        <v>74</v>
      </c>
      <c r="BS372" s="1" t="s">
        <v>3962</v>
      </c>
      <c r="BT372" s="1" t="str">
        <f>HYPERLINK("https%3A%2F%2Fwww.webofscience.com%2Fwos%2Fwoscc%2Ffull-record%2FWOS:000440104700005","View Full Record in Web of Science")</f>
        <v>View Full Record in Web of Science</v>
      </c>
    </row>
    <row r="373" ht="12.75" customHeight="1">
      <c r="A373" s="1" t="s">
        <v>72</v>
      </c>
      <c r="B373" s="1" t="s">
        <v>3963</v>
      </c>
      <c r="C373" s="1" t="s">
        <v>74</v>
      </c>
      <c r="D373" s="1" t="s">
        <v>74</v>
      </c>
      <c r="E373" s="1" t="s">
        <v>74</v>
      </c>
      <c r="F373" s="1" t="s">
        <v>3964</v>
      </c>
      <c r="G373" s="1" t="s">
        <v>74</v>
      </c>
      <c r="H373" s="1" t="s">
        <v>74</v>
      </c>
      <c r="I373" s="1" t="s">
        <v>3965</v>
      </c>
      <c r="J373" s="1" t="s">
        <v>739</v>
      </c>
      <c r="K373" s="1" t="s">
        <v>74</v>
      </c>
      <c r="L373" s="1" t="s">
        <v>74</v>
      </c>
      <c r="M373" s="1" t="s">
        <v>74</v>
      </c>
      <c r="N373" s="1" t="s">
        <v>74</v>
      </c>
      <c r="O373" s="1" t="s">
        <v>74</v>
      </c>
      <c r="P373" s="1" t="s">
        <v>74</v>
      </c>
      <c r="Q373" s="1" t="s">
        <v>74</v>
      </c>
      <c r="R373" s="1" t="s">
        <v>74</v>
      </c>
      <c r="S373" s="1" t="s">
        <v>74</v>
      </c>
      <c r="T373" s="1" t="s">
        <v>74</v>
      </c>
      <c r="U373" s="1" t="s">
        <v>74</v>
      </c>
      <c r="V373" s="1" t="s">
        <v>3966</v>
      </c>
      <c r="W373" s="1" t="s">
        <v>74</v>
      </c>
      <c r="X373" s="1" t="s">
        <v>74</v>
      </c>
      <c r="Y373" s="1" t="s">
        <v>74</v>
      </c>
      <c r="Z373" s="1" t="s">
        <v>74</v>
      </c>
      <c r="AA373" s="1" t="s">
        <v>3967</v>
      </c>
      <c r="AB373" s="1" t="s">
        <v>3968</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743</v>
      </c>
      <c r="AP373" s="1" t="s">
        <v>744</v>
      </c>
      <c r="AQ373" s="1" t="s">
        <v>74</v>
      </c>
      <c r="AR373" s="1" t="s">
        <v>74</v>
      </c>
      <c r="AS373" s="1" t="s">
        <v>74</v>
      </c>
      <c r="AT373" s="1" t="s">
        <v>2289</v>
      </c>
      <c r="AU373" s="1">
        <v>2017.0</v>
      </c>
      <c r="AV373" s="1">
        <v>96.0</v>
      </c>
      <c r="AW373" s="1">
        <v>18.0</v>
      </c>
      <c r="AX373" s="1" t="s">
        <v>74</v>
      </c>
      <c r="AY373" s="1" t="s">
        <v>74</v>
      </c>
      <c r="AZ373" s="1" t="s">
        <v>74</v>
      </c>
      <c r="BA373" s="1" t="s">
        <v>74</v>
      </c>
      <c r="BB373" s="1" t="s">
        <v>74</v>
      </c>
      <c r="BC373" s="1" t="s">
        <v>74</v>
      </c>
      <c r="BD373" s="1">
        <v>184401.0</v>
      </c>
      <c r="BE373" s="1" t="s">
        <v>3969</v>
      </c>
      <c r="BF373" s="2" t="str">
        <f>HYPERLINK("http://dx.doi.org/10.1103/PhysRevB.96.184401","http://dx.doi.org/10.1103/PhysRevB.96.184401")</f>
        <v>http://dx.doi.org/10.1103/PhysRevB.96.184401</v>
      </c>
      <c r="BG373" s="1" t="s">
        <v>74</v>
      </c>
      <c r="BH373" s="1" t="s">
        <v>74</v>
      </c>
      <c r="BI373" s="1" t="s">
        <v>74</v>
      </c>
      <c r="BJ373" s="1" t="s">
        <v>74</v>
      </c>
      <c r="BK373" s="1" t="s">
        <v>74</v>
      </c>
      <c r="BL373" s="1" t="s">
        <v>74</v>
      </c>
      <c r="BM373" s="1" t="s">
        <v>74</v>
      </c>
      <c r="BN373" s="1" t="s">
        <v>74</v>
      </c>
      <c r="BO373" s="1" t="s">
        <v>74</v>
      </c>
      <c r="BP373" s="1" t="s">
        <v>74</v>
      </c>
      <c r="BQ373" s="1" t="s">
        <v>74</v>
      </c>
      <c r="BR373" s="1" t="s">
        <v>74</v>
      </c>
      <c r="BS373" s="1" t="s">
        <v>3970</v>
      </c>
      <c r="BT373" s="1" t="str">
        <f>HYPERLINK("https%3A%2F%2Fwww.webofscience.com%2Fwos%2Fwoscc%2Ffull-record%2FWOS:000414133000003","View Full Record in Web of Science")</f>
        <v>View Full Record in Web of Science</v>
      </c>
    </row>
    <row r="374" ht="12.75" customHeight="1">
      <c r="A374" s="1" t="s">
        <v>72</v>
      </c>
      <c r="B374" s="1" t="s">
        <v>3971</v>
      </c>
      <c r="C374" s="1" t="s">
        <v>74</v>
      </c>
      <c r="D374" s="1" t="s">
        <v>74</v>
      </c>
      <c r="E374" s="1" t="s">
        <v>74</v>
      </c>
      <c r="F374" s="1" t="s">
        <v>3972</v>
      </c>
      <c r="G374" s="1" t="s">
        <v>74</v>
      </c>
      <c r="H374" s="1" t="s">
        <v>74</v>
      </c>
      <c r="I374" s="1" t="s">
        <v>3973</v>
      </c>
      <c r="J374" s="1" t="s">
        <v>3974</v>
      </c>
      <c r="K374" s="1" t="s">
        <v>74</v>
      </c>
      <c r="L374" s="1" t="s">
        <v>74</v>
      </c>
      <c r="M374" s="1" t="s">
        <v>74</v>
      </c>
      <c r="N374" s="1" t="s">
        <v>74</v>
      </c>
      <c r="O374" s="1" t="s">
        <v>74</v>
      </c>
      <c r="P374" s="1" t="s">
        <v>74</v>
      </c>
      <c r="Q374" s="1" t="s">
        <v>74</v>
      </c>
      <c r="R374" s="1" t="s">
        <v>74</v>
      </c>
      <c r="S374" s="1" t="s">
        <v>74</v>
      </c>
      <c r="T374" s="1" t="s">
        <v>74</v>
      </c>
      <c r="U374" s="1" t="s">
        <v>74</v>
      </c>
      <c r="V374" s="1" t="s">
        <v>3975</v>
      </c>
      <c r="W374" s="1" t="s">
        <v>74</v>
      </c>
      <c r="X374" s="1" t="s">
        <v>74</v>
      </c>
      <c r="Y374" s="1" t="s">
        <v>74</v>
      </c>
      <c r="Z374" s="1" t="s">
        <v>74</v>
      </c>
      <c r="AA374" s="1" t="s">
        <v>3976</v>
      </c>
      <c r="AB374" s="1" t="s">
        <v>3977</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3978</v>
      </c>
      <c r="AP374" s="1" t="s">
        <v>74</v>
      </c>
      <c r="AQ374" s="1" t="s">
        <v>74</v>
      </c>
      <c r="AR374" s="1" t="s">
        <v>74</v>
      </c>
      <c r="AS374" s="1" t="s">
        <v>74</v>
      </c>
      <c r="AT374" s="1" t="s">
        <v>202</v>
      </c>
      <c r="AU374" s="1">
        <v>2024.0</v>
      </c>
      <c r="AV374" s="1">
        <v>7.0</v>
      </c>
      <c r="AW374" s="1" t="s">
        <v>74</v>
      </c>
      <c r="AX374" s="1" t="s">
        <v>74</v>
      </c>
      <c r="AY374" s="1" t="s">
        <v>74</v>
      </c>
      <c r="AZ374" s="1" t="s">
        <v>74</v>
      </c>
      <c r="BA374" s="1" t="s">
        <v>74</v>
      </c>
      <c r="BB374" s="1" t="s">
        <v>74</v>
      </c>
      <c r="BC374" s="1" t="s">
        <v>74</v>
      </c>
      <c r="BD374" s="1">
        <v>100414.0</v>
      </c>
      <c r="BE374" s="1" t="s">
        <v>3979</v>
      </c>
      <c r="BF374" s="2" t="str">
        <f>HYPERLINK("http://dx.doi.org/10.1016/j.carpta.2023.100414","http://dx.doi.org/10.1016/j.carpta.2023.100414")</f>
        <v>http://dx.doi.org/10.1016/j.carpta.2023.100414</v>
      </c>
      <c r="BG374" s="1" t="s">
        <v>74</v>
      </c>
      <c r="BH374" s="1" t="s">
        <v>1176</v>
      </c>
      <c r="BI374" s="1" t="s">
        <v>74</v>
      </c>
      <c r="BJ374" s="1" t="s">
        <v>74</v>
      </c>
      <c r="BK374" s="1" t="s">
        <v>74</v>
      </c>
      <c r="BL374" s="1" t="s">
        <v>74</v>
      </c>
      <c r="BM374" s="1" t="s">
        <v>74</v>
      </c>
      <c r="BN374" s="1" t="s">
        <v>74</v>
      </c>
      <c r="BO374" s="1" t="s">
        <v>74</v>
      </c>
      <c r="BP374" s="1" t="s">
        <v>74</v>
      </c>
      <c r="BQ374" s="1" t="s">
        <v>74</v>
      </c>
      <c r="BR374" s="1" t="s">
        <v>74</v>
      </c>
      <c r="BS374" s="1" t="s">
        <v>3980</v>
      </c>
      <c r="BT374" s="1" t="str">
        <f>HYPERLINK("https%3A%2F%2Fwww.webofscience.com%2Fwos%2Fwoscc%2Ffull-record%2FWOS:001155384600001","View Full Record in Web of Science")</f>
        <v>View Full Record in Web of Science</v>
      </c>
    </row>
    <row r="375" ht="12.75" customHeight="1">
      <c r="A375" s="1" t="s">
        <v>72</v>
      </c>
      <c r="B375" s="1" t="s">
        <v>3981</v>
      </c>
      <c r="C375" s="1" t="s">
        <v>74</v>
      </c>
      <c r="D375" s="1" t="s">
        <v>74</v>
      </c>
      <c r="E375" s="1" t="s">
        <v>74</v>
      </c>
      <c r="F375" s="1" t="s">
        <v>3982</v>
      </c>
      <c r="G375" s="1" t="s">
        <v>74</v>
      </c>
      <c r="H375" s="1" t="s">
        <v>74</v>
      </c>
      <c r="I375" s="1" t="s">
        <v>3983</v>
      </c>
      <c r="J375" s="1" t="s">
        <v>3984</v>
      </c>
      <c r="K375" s="1" t="s">
        <v>74</v>
      </c>
      <c r="L375" s="1" t="s">
        <v>74</v>
      </c>
      <c r="M375" s="1" t="s">
        <v>74</v>
      </c>
      <c r="N375" s="1" t="s">
        <v>74</v>
      </c>
      <c r="O375" s="1" t="s">
        <v>74</v>
      </c>
      <c r="P375" s="1" t="s">
        <v>74</v>
      </c>
      <c r="Q375" s="1" t="s">
        <v>74</v>
      </c>
      <c r="R375" s="1" t="s">
        <v>74</v>
      </c>
      <c r="S375" s="1" t="s">
        <v>74</v>
      </c>
      <c r="T375" s="1" t="s">
        <v>74</v>
      </c>
      <c r="U375" s="1" t="s">
        <v>74</v>
      </c>
      <c r="V375" s="1" t="s">
        <v>3985</v>
      </c>
      <c r="W375" s="1" t="s">
        <v>74</v>
      </c>
      <c r="X375" s="1" t="s">
        <v>74</v>
      </c>
      <c r="Y375" s="1" t="s">
        <v>74</v>
      </c>
      <c r="Z375" s="1" t="s">
        <v>74</v>
      </c>
      <c r="AA375" s="1" t="s">
        <v>3986</v>
      </c>
      <c r="AB375" s="1" t="s">
        <v>2825</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3987</v>
      </c>
      <c r="AP375" s="1" t="s">
        <v>3988</v>
      </c>
      <c r="AQ375" s="1" t="s">
        <v>74</v>
      </c>
      <c r="AR375" s="1" t="s">
        <v>74</v>
      </c>
      <c r="AS375" s="1" t="s">
        <v>74</v>
      </c>
      <c r="AT375" s="1" t="s">
        <v>141</v>
      </c>
      <c r="AU375" s="1">
        <v>2023.0</v>
      </c>
      <c r="AV375" s="1">
        <v>143.0</v>
      </c>
      <c r="AW375" s="1" t="s">
        <v>74</v>
      </c>
      <c r="AX375" s="1" t="s">
        <v>74</v>
      </c>
      <c r="AY375" s="1" t="s">
        <v>74</v>
      </c>
      <c r="AZ375" s="1" t="s">
        <v>74</v>
      </c>
      <c r="BA375" s="1" t="s">
        <v>74</v>
      </c>
      <c r="BB375" s="1" t="s">
        <v>74</v>
      </c>
      <c r="BC375" s="1" t="s">
        <v>74</v>
      </c>
      <c r="BD375" s="1">
        <v>114226.0</v>
      </c>
      <c r="BE375" s="1" t="s">
        <v>3989</v>
      </c>
      <c r="BF375" s="2" t="str">
        <f>HYPERLINK("http://dx.doi.org/10.1016/j.optmat.2023.114226","http://dx.doi.org/10.1016/j.optmat.2023.114226")</f>
        <v>http://dx.doi.org/10.1016/j.optmat.2023.114226</v>
      </c>
      <c r="BG375" s="1" t="s">
        <v>74</v>
      </c>
      <c r="BH375" s="1" t="s">
        <v>2995</v>
      </c>
      <c r="BI375" s="1" t="s">
        <v>74</v>
      </c>
      <c r="BJ375" s="1" t="s">
        <v>74</v>
      </c>
      <c r="BK375" s="1" t="s">
        <v>74</v>
      </c>
      <c r="BL375" s="1" t="s">
        <v>74</v>
      </c>
      <c r="BM375" s="1" t="s">
        <v>74</v>
      </c>
      <c r="BN375" s="1" t="s">
        <v>74</v>
      </c>
      <c r="BO375" s="1" t="s">
        <v>74</v>
      </c>
      <c r="BP375" s="1" t="s">
        <v>74</v>
      </c>
      <c r="BQ375" s="1" t="s">
        <v>74</v>
      </c>
      <c r="BR375" s="1" t="s">
        <v>74</v>
      </c>
      <c r="BS375" s="1" t="s">
        <v>3990</v>
      </c>
      <c r="BT375" s="1" t="str">
        <f>HYPERLINK("https%3A%2F%2Fwww.webofscience.com%2Fwos%2Fwoscc%2Ffull-record%2FWOS:001063289900001","View Full Record in Web of Science")</f>
        <v>View Full Record in Web of Science</v>
      </c>
    </row>
    <row r="376" ht="12.75" customHeight="1">
      <c r="A376" s="1" t="s">
        <v>72</v>
      </c>
      <c r="B376" s="1" t="s">
        <v>3991</v>
      </c>
      <c r="C376" s="1" t="s">
        <v>74</v>
      </c>
      <c r="D376" s="1" t="s">
        <v>74</v>
      </c>
      <c r="E376" s="1" t="s">
        <v>74</v>
      </c>
      <c r="F376" s="1" t="s">
        <v>3992</v>
      </c>
      <c r="G376" s="1" t="s">
        <v>74</v>
      </c>
      <c r="H376" s="1" t="s">
        <v>74</v>
      </c>
      <c r="I376" s="1" t="s">
        <v>3993</v>
      </c>
      <c r="J376" s="1" t="s">
        <v>3994</v>
      </c>
      <c r="K376" s="1" t="s">
        <v>74</v>
      </c>
      <c r="L376" s="1" t="s">
        <v>74</v>
      </c>
      <c r="M376" s="1" t="s">
        <v>74</v>
      </c>
      <c r="N376" s="1" t="s">
        <v>74</v>
      </c>
      <c r="O376" s="1" t="s">
        <v>74</v>
      </c>
      <c r="P376" s="1" t="s">
        <v>74</v>
      </c>
      <c r="Q376" s="1" t="s">
        <v>74</v>
      </c>
      <c r="R376" s="1" t="s">
        <v>74</v>
      </c>
      <c r="S376" s="1" t="s">
        <v>74</v>
      </c>
      <c r="T376" s="1" t="s">
        <v>74</v>
      </c>
      <c r="U376" s="1" t="s">
        <v>74</v>
      </c>
      <c r="V376" s="1" t="s">
        <v>3995</v>
      </c>
      <c r="W376" s="1" t="s">
        <v>74</v>
      </c>
      <c r="X376" s="1" t="s">
        <v>74</v>
      </c>
      <c r="Y376" s="1" t="s">
        <v>74</v>
      </c>
      <c r="Z376" s="1" t="s">
        <v>74</v>
      </c>
      <c r="AA376" s="1" t="s">
        <v>3996</v>
      </c>
      <c r="AB376" s="1" t="s">
        <v>3997</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3998</v>
      </c>
      <c r="AP376" s="1" t="s">
        <v>3999</v>
      </c>
      <c r="AQ376" s="1" t="s">
        <v>74</v>
      </c>
      <c r="AR376" s="1" t="s">
        <v>74</v>
      </c>
      <c r="AS376" s="1" t="s">
        <v>74</v>
      </c>
      <c r="AT376" s="1" t="s">
        <v>346</v>
      </c>
      <c r="AU376" s="1">
        <v>2019.0</v>
      </c>
      <c r="AV376" s="1">
        <v>33.0</v>
      </c>
      <c r="AW376" s="1">
        <v>3.0</v>
      </c>
      <c r="AX376" s="1" t="s">
        <v>74</v>
      </c>
      <c r="AY376" s="1" t="s">
        <v>74</v>
      </c>
      <c r="AZ376" s="1" t="s">
        <v>74</v>
      </c>
      <c r="BA376" s="1" t="s">
        <v>74</v>
      </c>
      <c r="BB376" s="1">
        <v>747.0</v>
      </c>
      <c r="BC376" s="1">
        <v>754.0</v>
      </c>
      <c r="BD376" s="1" t="s">
        <v>74</v>
      </c>
      <c r="BE376" s="1" t="s">
        <v>4000</v>
      </c>
      <c r="BF376" s="2" t="str">
        <f>HYPERLINK("http://dx.doi.org/10.1519/JSC.0000000000003052","http://dx.doi.org/10.1519/JSC.0000000000003052")</f>
        <v>http://dx.doi.org/10.1519/JSC.0000000000003052</v>
      </c>
      <c r="BG376" s="1" t="s">
        <v>74</v>
      </c>
      <c r="BH376" s="1" t="s">
        <v>74</v>
      </c>
      <c r="BI376" s="1" t="s">
        <v>74</v>
      </c>
      <c r="BJ376" s="1" t="s">
        <v>74</v>
      </c>
      <c r="BK376" s="1" t="s">
        <v>74</v>
      </c>
      <c r="BL376" s="1" t="s">
        <v>74</v>
      </c>
      <c r="BM376" s="1" t="s">
        <v>74</v>
      </c>
      <c r="BN376" s="1">
        <v>3.0664113E7</v>
      </c>
      <c r="BO376" s="1" t="s">
        <v>74</v>
      </c>
      <c r="BP376" s="1" t="s">
        <v>74</v>
      </c>
      <c r="BQ376" s="1" t="s">
        <v>74</v>
      </c>
      <c r="BR376" s="1" t="s">
        <v>74</v>
      </c>
      <c r="BS376" s="1" t="s">
        <v>4001</v>
      </c>
      <c r="BT376" s="1" t="str">
        <f>HYPERLINK("https%3A%2F%2Fwww.webofscience.com%2Fwos%2Fwoscc%2Ffull-record%2FWOS:000463234800019","View Full Record in Web of Science")</f>
        <v>View Full Record in Web of Science</v>
      </c>
    </row>
    <row r="377" ht="12.75" customHeight="1">
      <c r="A377" s="1" t="s">
        <v>72</v>
      </c>
      <c r="B377" s="1" t="s">
        <v>4002</v>
      </c>
      <c r="C377" s="1" t="s">
        <v>74</v>
      </c>
      <c r="D377" s="1" t="s">
        <v>74</v>
      </c>
      <c r="E377" s="1" t="s">
        <v>74</v>
      </c>
      <c r="F377" s="1" t="s">
        <v>4003</v>
      </c>
      <c r="G377" s="1" t="s">
        <v>74</v>
      </c>
      <c r="H377" s="1" t="s">
        <v>74</v>
      </c>
      <c r="I377" s="1" t="s">
        <v>4004</v>
      </c>
      <c r="J377" s="1" t="s">
        <v>3217</v>
      </c>
      <c r="K377" s="1" t="s">
        <v>74</v>
      </c>
      <c r="L377" s="1" t="s">
        <v>74</v>
      </c>
      <c r="M377" s="1" t="s">
        <v>74</v>
      </c>
      <c r="N377" s="1" t="s">
        <v>74</v>
      </c>
      <c r="O377" s="1" t="s">
        <v>74</v>
      </c>
      <c r="P377" s="1" t="s">
        <v>74</v>
      </c>
      <c r="Q377" s="1" t="s">
        <v>74</v>
      </c>
      <c r="R377" s="1" t="s">
        <v>74</v>
      </c>
      <c r="S377" s="1" t="s">
        <v>74</v>
      </c>
      <c r="T377" s="1" t="s">
        <v>74</v>
      </c>
      <c r="U377" s="1" t="s">
        <v>74</v>
      </c>
      <c r="V377" s="1" t="s">
        <v>4005</v>
      </c>
      <c r="W377" s="1" t="s">
        <v>74</v>
      </c>
      <c r="X377" s="1" t="s">
        <v>74</v>
      </c>
      <c r="Y377" s="1" t="s">
        <v>74</v>
      </c>
      <c r="Z377" s="1" t="s">
        <v>74</v>
      </c>
      <c r="AA377" s="1" t="s">
        <v>4006</v>
      </c>
      <c r="AB377" s="1" t="s">
        <v>4007</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74</v>
      </c>
      <c r="AP377" s="1" t="s">
        <v>3221</v>
      </c>
      <c r="AQ377" s="1" t="s">
        <v>74</v>
      </c>
      <c r="AR377" s="1" t="s">
        <v>74</v>
      </c>
      <c r="AS377" s="1" t="s">
        <v>74</v>
      </c>
      <c r="AT377" s="1" t="s">
        <v>346</v>
      </c>
      <c r="AU377" s="1">
        <v>2018.0</v>
      </c>
      <c r="AV377" s="1">
        <v>10.0</v>
      </c>
      <c r="AW377" s="1">
        <v>3.0</v>
      </c>
      <c r="AX377" s="1" t="s">
        <v>74</v>
      </c>
      <c r="AY377" s="1" t="s">
        <v>74</v>
      </c>
      <c r="AZ377" s="1" t="s">
        <v>74</v>
      </c>
      <c r="BA377" s="1" t="s">
        <v>74</v>
      </c>
      <c r="BB377" s="1" t="s">
        <v>74</v>
      </c>
      <c r="BC377" s="1" t="s">
        <v>74</v>
      </c>
      <c r="BD377" s="1">
        <v>632.0</v>
      </c>
      <c r="BE377" s="1" t="s">
        <v>4008</v>
      </c>
      <c r="BF377" s="2" t="str">
        <f>HYPERLINK("http://dx.doi.org/10.3390/su10030632","http://dx.doi.org/10.3390/su10030632")</f>
        <v>http://dx.doi.org/10.3390/su10030632</v>
      </c>
      <c r="BG377" s="1" t="s">
        <v>74</v>
      </c>
      <c r="BH377" s="1" t="s">
        <v>74</v>
      </c>
      <c r="BI377" s="1" t="s">
        <v>74</v>
      </c>
      <c r="BJ377" s="1" t="s">
        <v>74</v>
      </c>
      <c r="BK377" s="1" t="s">
        <v>74</v>
      </c>
      <c r="BL377" s="1" t="s">
        <v>74</v>
      </c>
      <c r="BM377" s="1" t="s">
        <v>74</v>
      </c>
      <c r="BN377" s="1" t="s">
        <v>74</v>
      </c>
      <c r="BO377" s="1" t="s">
        <v>74</v>
      </c>
      <c r="BP377" s="1" t="s">
        <v>74</v>
      </c>
      <c r="BQ377" s="1" t="s">
        <v>74</v>
      </c>
      <c r="BR377" s="1" t="s">
        <v>74</v>
      </c>
      <c r="BS377" s="1" t="s">
        <v>4009</v>
      </c>
      <c r="BT377" s="1" t="str">
        <f>HYPERLINK("https%3A%2F%2Fwww.webofscience.com%2Fwos%2Fwoscc%2Ffull-record%2FWOS:000428567100059","View Full Record in Web of Science")</f>
        <v>View Full Record in Web of Science</v>
      </c>
    </row>
    <row r="378" ht="12.75" customHeight="1">
      <c r="A378" s="1" t="s">
        <v>72</v>
      </c>
      <c r="B378" s="1" t="s">
        <v>4010</v>
      </c>
      <c r="C378" s="1" t="s">
        <v>74</v>
      </c>
      <c r="D378" s="1" t="s">
        <v>74</v>
      </c>
      <c r="E378" s="1" t="s">
        <v>74</v>
      </c>
      <c r="F378" s="1" t="s">
        <v>4011</v>
      </c>
      <c r="G378" s="1" t="s">
        <v>74</v>
      </c>
      <c r="H378" s="1" t="s">
        <v>74</v>
      </c>
      <c r="I378" s="1" t="s">
        <v>4012</v>
      </c>
      <c r="J378" s="1" t="s">
        <v>4013</v>
      </c>
      <c r="K378" s="1" t="s">
        <v>74</v>
      </c>
      <c r="L378" s="1" t="s">
        <v>74</v>
      </c>
      <c r="M378" s="1" t="s">
        <v>74</v>
      </c>
      <c r="N378" s="1" t="s">
        <v>74</v>
      </c>
      <c r="O378" s="1" t="s">
        <v>74</v>
      </c>
      <c r="P378" s="1" t="s">
        <v>74</v>
      </c>
      <c r="Q378" s="1" t="s">
        <v>74</v>
      </c>
      <c r="R378" s="1" t="s">
        <v>74</v>
      </c>
      <c r="S378" s="1" t="s">
        <v>74</v>
      </c>
      <c r="T378" s="1" t="s">
        <v>74</v>
      </c>
      <c r="U378" s="1" t="s">
        <v>74</v>
      </c>
      <c r="V378" s="1" t="s">
        <v>4014</v>
      </c>
      <c r="W378" s="1" t="s">
        <v>74</v>
      </c>
      <c r="X378" s="1" t="s">
        <v>74</v>
      </c>
      <c r="Y378" s="1" t="s">
        <v>74</v>
      </c>
      <c r="Z378" s="1" t="s">
        <v>74</v>
      </c>
      <c r="AA378" s="1" t="s">
        <v>4015</v>
      </c>
      <c r="AB378" s="1" t="s">
        <v>4016</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4017</v>
      </c>
      <c r="AP378" s="1" t="s">
        <v>4018</v>
      </c>
      <c r="AQ378" s="1" t="s">
        <v>74</v>
      </c>
      <c r="AR378" s="1" t="s">
        <v>74</v>
      </c>
      <c r="AS378" s="1" t="s">
        <v>74</v>
      </c>
      <c r="AT378" s="1" t="s">
        <v>214</v>
      </c>
      <c r="AU378" s="1">
        <v>2018.0</v>
      </c>
      <c r="AV378" s="1">
        <v>43.0</v>
      </c>
      <c r="AW378" s="1">
        <v>1.0</v>
      </c>
      <c r="AX378" s="1" t="s">
        <v>74</v>
      </c>
      <c r="AY378" s="1" t="s">
        <v>74</v>
      </c>
      <c r="AZ378" s="1" t="s">
        <v>74</v>
      </c>
      <c r="BA378" s="1" t="s">
        <v>74</v>
      </c>
      <c r="BB378" s="1">
        <v>25.0</v>
      </c>
      <c r="BC378" s="1">
        <v>34.0</v>
      </c>
      <c r="BD378" s="1" t="s">
        <v>74</v>
      </c>
      <c r="BE378" s="1" t="s">
        <v>4019</v>
      </c>
      <c r="BF378" s="2" t="str">
        <f>HYPERLINK("http://dx.doi.org/10.1111/aec.12531","http://dx.doi.org/10.1111/aec.12531")</f>
        <v>http://dx.doi.org/10.1111/aec.12531</v>
      </c>
      <c r="BG378" s="1" t="s">
        <v>74</v>
      </c>
      <c r="BH378" s="1" t="s">
        <v>74</v>
      </c>
      <c r="BI378" s="1" t="s">
        <v>74</v>
      </c>
      <c r="BJ378" s="1" t="s">
        <v>74</v>
      </c>
      <c r="BK378" s="1" t="s">
        <v>74</v>
      </c>
      <c r="BL378" s="1" t="s">
        <v>74</v>
      </c>
      <c r="BM378" s="1" t="s">
        <v>74</v>
      </c>
      <c r="BN378" s="1" t="s">
        <v>74</v>
      </c>
      <c r="BO378" s="1" t="s">
        <v>74</v>
      </c>
      <c r="BP378" s="1" t="s">
        <v>74</v>
      </c>
      <c r="BQ378" s="1" t="s">
        <v>74</v>
      </c>
      <c r="BR378" s="1" t="s">
        <v>74</v>
      </c>
      <c r="BS378" s="1" t="s">
        <v>4020</v>
      </c>
      <c r="BT378" s="1" t="str">
        <f>HYPERLINK("https%3A%2F%2Fwww.webofscience.com%2Fwos%2Fwoscc%2Ffull-record%2FWOS:000427969700003","View Full Record in Web of Science")</f>
        <v>View Full Record in Web of Science</v>
      </c>
    </row>
    <row r="379" ht="12.75" customHeight="1">
      <c r="A379" s="1" t="s">
        <v>72</v>
      </c>
      <c r="B379" s="1" t="s">
        <v>4021</v>
      </c>
      <c r="C379" s="1" t="s">
        <v>74</v>
      </c>
      <c r="D379" s="1" t="s">
        <v>74</v>
      </c>
      <c r="E379" s="1" t="s">
        <v>74</v>
      </c>
      <c r="F379" s="1" t="s">
        <v>4022</v>
      </c>
      <c r="G379" s="1" t="s">
        <v>74</v>
      </c>
      <c r="H379" s="1" t="s">
        <v>74</v>
      </c>
      <c r="I379" s="1" t="s">
        <v>4023</v>
      </c>
      <c r="J379" s="1" t="s">
        <v>4024</v>
      </c>
      <c r="K379" s="1" t="s">
        <v>74</v>
      </c>
      <c r="L379" s="1" t="s">
        <v>74</v>
      </c>
      <c r="M379" s="1" t="s">
        <v>74</v>
      </c>
      <c r="N379" s="1" t="s">
        <v>74</v>
      </c>
      <c r="O379" s="1" t="s">
        <v>74</v>
      </c>
      <c r="P379" s="1" t="s">
        <v>74</v>
      </c>
      <c r="Q379" s="1" t="s">
        <v>74</v>
      </c>
      <c r="R379" s="1" t="s">
        <v>74</v>
      </c>
      <c r="S379" s="1" t="s">
        <v>74</v>
      </c>
      <c r="T379" s="1" t="s">
        <v>74</v>
      </c>
      <c r="U379" s="1" t="s">
        <v>74</v>
      </c>
      <c r="V379" s="1" t="s">
        <v>4025</v>
      </c>
      <c r="W379" s="1" t="s">
        <v>74</v>
      </c>
      <c r="X379" s="1" t="s">
        <v>74</v>
      </c>
      <c r="Y379" s="1" t="s">
        <v>74</v>
      </c>
      <c r="Z379" s="1" t="s">
        <v>74</v>
      </c>
      <c r="AA379" s="1" t="s">
        <v>4026</v>
      </c>
      <c r="AB379" s="1" t="s">
        <v>4027</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4028</v>
      </c>
      <c r="AP379" s="1" t="s">
        <v>4029</v>
      </c>
      <c r="AQ379" s="1" t="s">
        <v>74</v>
      </c>
      <c r="AR379" s="1" t="s">
        <v>74</v>
      </c>
      <c r="AS379" s="1" t="s">
        <v>74</v>
      </c>
      <c r="AT379" s="1" t="s">
        <v>264</v>
      </c>
      <c r="AU379" s="1">
        <v>2017.0</v>
      </c>
      <c r="AV379" s="1">
        <v>12.0</v>
      </c>
      <c r="AW379" s="1">
        <v>1.0</v>
      </c>
      <c r="AX379" s="1" t="s">
        <v>74</v>
      </c>
      <c r="AY379" s="1" t="s">
        <v>74</v>
      </c>
      <c r="AZ379" s="1" t="s">
        <v>74</v>
      </c>
      <c r="BA379" s="1" t="s">
        <v>74</v>
      </c>
      <c r="BB379" s="1">
        <v>59.0</v>
      </c>
      <c r="BC379" s="1">
        <v>72.0</v>
      </c>
      <c r="BD379" s="1" t="s">
        <v>74</v>
      </c>
      <c r="BE379" s="1" t="s">
        <v>4030</v>
      </c>
      <c r="BF379" s="2" t="str">
        <f>HYPERLINK("http://dx.doi.org/10.2217/nnm-2016-0307","http://dx.doi.org/10.2217/nnm-2016-0307")</f>
        <v>http://dx.doi.org/10.2217/nnm-2016-0307</v>
      </c>
      <c r="BG379" s="1" t="s">
        <v>74</v>
      </c>
      <c r="BH379" s="1" t="s">
        <v>74</v>
      </c>
      <c r="BI379" s="1" t="s">
        <v>74</v>
      </c>
      <c r="BJ379" s="1" t="s">
        <v>74</v>
      </c>
      <c r="BK379" s="1" t="s">
        <v>74</v>
      </c>
      <c r="BL379" s="1" t="s">
        <v>74</v>
      </c>
      <c r="BM379" s="1" t="s">
        <v>74</v>
      </c>
      <c r="BN379" s="1">
        <v>2.7876436E7</v>
      </c>
      <c r="BO379" s="1" t="s">
        <v>74</v>
      </c>
      <c r="BP379" s="1" t="s">
        <v>74</v>
      </c>
      <c r="BQ379" s="1" t="s">
        <v>74</v>
      </c>
      <c r="BR379" s="1" t="s">
        <v>74</v>
      </c>
      <c r="BS379" s="1" t="s">
        <v>4031</v>
      </c>
      <c r="BT379" s="1" t="str">
        <f>HYPERLINK("https%3A%2F%2Fwww.webofscience.com%2Fwos%2Fwoscc%2Ffull-record%2FWOS:000395673300007","View Full Record in Web of Science")</f>
        <v>View Full Record in Web of Science</v>
      </c>
    </row>
    <row r="380" ht="12.75" customHeight="1">
      <c r="A380" s="1" t="s">
        <v>72</v>
      </c>
      <c r="B380" s="1" t="s">
        <v>4032</v>
      </c>
      <c r="C380" s="1" t="s">
        <v>74</v>
      </c>
      <c r="D380" s="1" t="s">
        <v>74</v>
      </c>
      <c r="E380" s="1" t="s">
        <v>74</v>
      </c>
      <c r="F380" s="1" t="s">
        <v>4033</v>
      </c>
      <c r="G380" s="1" t="s">
        <v>74</v>
      </c>
      <c r="H380" s="1" t="s">
        <v>74</v>
      </c>
      <c r="I380" s="1" t="s">
        <v>4034</v>
      </c>
      <c r="J380" s="1" t="s">
        <v>1550</v>
      </c>
      <c r="K380" s="1" t="s">
        <v>74</v>
      </c>
      <c r="L380" s="1" t="s">
        <v>74</v>
      </c>
      <c r="M380" s="1" t="s">
        <v>74</v>
      </c>
      <c r="N380" s="1" t="s">
        <v>74</v>
      </c>
      <c r="O380" s="1" t="s">
        <v>74</v>
      </c>
      <c r="P380" s="1" t="s">
        <v>74</v>
      </c>
      <c r="Q380" s="1" t="s">
        <v>74</v>
      </c>
      <c r="R380" s="1" t="s">
        <v>74</v>
      </c>
      <c r="S380" s="1" t="s">
        <v>74</v>
      </c>
      <c r="T380" s="1" t="s">
        <v>74</v>
      </c>
      <c r="U380" s="1" t="s">
        <v>74</v>
      </c>
      <c r="V380" s="1" t="s">
        <v>4035</v>
      </c>
      <c r="W380" s="1" t="s">
        <v>74</v>
      </c>
      <c r="X380" s="1" t="s">
        <v>74</v>
      </c>
      <c r="Y380" s="1" t="s">
        <v>74</v>
      </c>
      <c r="Z380" s="1" t="s">
        <v>74</v>
      </c>
      <c r="AA380" s="1" t="s">
        <v>74</v>
      </c>
      <c r="AB380" s="1" t="s">
        <v>4036</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1554</v>
      </c>
      <c r="AP380" s="1" t="s">
        <v>3038</v>
      </c>
      <c r="AQ380" s="1" t="s">
        <v>74</v>
      </c>
      <c r="AR380" s="1" t="s">
        <v>74</v>
      </c>
      <c r="AS380" s="1" t="s">
        <v>74</v>
      </c>
      <c r="AT380" s="1" t="s">
        <v>4037</v>
      </c>
      <c r="AU380" s="1">
        <v>2025.0</v>
      </c>
      <c r="AV380" s="1">
        <v>64.0</v>
      </c>
      <c r="AW380" s="1">
        <v>7.0</v>
      </c>
      <c r="AX380" s="1" t="s">
        <v>74</v>
      </c>
      <c r="AY380" s="1" t="s">
        <v>74</v>
      </c>
      <c r="AZ380" s="1" t="s">
        <v>74</v>
      </c>
      <c r="BA380" s="1" t="s">
        <v>74</v>
      </c>
      <c r="BB380" s="1">
        <v>3403.0</v>
      </c>
      <c r="BC380" s="1">
        <v>3417.0</v>
      </c>
      <c r="BD380" s="1" t="s">
        <v>74</v>
      </c>
      <c r="BE380" s="1" t="s">
        <v>4038</v>
      </c>
      <c r="BF380" s="2" t="str">
        <f>HYPERLINK("http://dx.doi.org/10.1021/acs.inorgchem.4c04987","http://dx.doi.org/10.1021/acs.inorgchem.4c04987")</f>
        <v>http://dx.doi.org/10.1021/acs.inorgchem.4c04987</v>
      </c>
      <c r="BG380" s="1" t="s">
        <v>74</v>
      </c>
      <c r="BH380" s="1" t="s">
        <v>2262</v>
      </c>
      <c r="BI380" s="1" t="s">
        <v>74</v>
      </c>
      <c r="BJ380" s="1" t="s">
        <v>74</v>
      </c>
      <c r="BK380" s="1" t="s">
        <v>74</v>
      </c>
      <c r="BL380" s="1" t="s">
        <v>74</v>
      </c>
      <c r="BM380" s="1" t="s">
        <v>74</v>
      </c>
      <c r="BN380" s="1">
        <v>3.9932854E7</v>
      </c>
      <c r="BO380" s="1" t="s">
        <v>74</v>
      </c>
      <c r="BP380" s="1" t="s">
        <v>74</v>
      </c>
      <c r="BQ380" s="1" t="s">
        <v>74</v>
      </c>
      <c r="BR380" s="1" t="s">
        <v>74</v>
      </c>
      <c r="BS380" s="1" t="s">
        <v>4039</v>
      </c>
      <c r="BT380" s="1" t="str">
        <f>HYPERLINK("https%3A%2F%2Fwww.webofscience.com%2Fwos%2Fwoscc%2Ffull-record%2FWOS:001418202300001","View Full Record in Web of Science")</f>
        <v>View Full Record in Web of Science</v>
      </c>
    </row>
    <row r="381" ht="12.75" customHeight="1">
      <c r="A381" s="1" t="s">
        <v>72</v>
      </c>
      <c r="B381" s="1" t="s">
        <v>4040</v>
      </c>
      <c r="C381" s="1" t="s">
        <v>74</v>
      </c>
      <c r="D381" s="1" t="s">
        <v>74</v>
      </c>
      <c r="E381" s="1" t="s">
        <v>74</v>
      </c>
      <c r="F381" s="1" t="s">
        <v>4041</v>
      </c>
      <c r="G381" s="1" t="s">
        <v>74</v>
      </c>
      <c r="H381" s="1" t="s">
        <v>74</v>
      </c>
      <c r="I381" s="1" t="s">
        <v>4042</v>
      </c>
      <c r="J381" s="1" t="s">
        <v>2379</v>
      </c>
      <c r="K381" s="1" t="s">
        <v>74</v>
      </c>
      <c r="L381" s="1" t="s">
        <v>74</v>
      </c>
      <c r="M381" s="1" t="s">
        <v>74</v>
      </c>
      <c r="N381" s="1" t="s">
        <v>74</v>
      </c>
      <c r="O381" s="1" t="s">
        <v>74</v>
      </c>
      <c r="P381" s="1" t="s">
        <v>74</v>
      </c>
      <c r="Q381" s="1" t="s">
        <v>74</v>
      </c>
      <c r="R381" s="1" t="s">
        <v>74</v>
      </c>
      <c r="S381" s="1" t="s">
        <v>74</v>
      </c>
      <c r="T381" s="1" t="s">
        <v>74</v>
      </c>
      <c r="U381" s="1" t="s">
        <v>74</v>
      </c>
      <c r="V381" s="1" t="s">
        <v>4043</v>
      </c>
      <c r="W381" s="1" t="s">
        <v>74</v>
      </c>
      <c r="X381" s="1" t="s">
        <v>74</v>
      </c>
      <c r="Y381" s="1" t="s">
        <v>74</v>
      </c>
      <c r="Z381" s="1" t="s">
        <v>74</v>
      </c>
      <c r="AA381" s="1" t="s">
        <v>4044</v>
      </c>
      <c r="AB381" s="1" t="s">
        <v>4045</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2383</v>
      </c>
      <c r="AP381" s="1" t="s">
        <v>2384</v>
      </c>
      <c r="AQ381" s="1" t="s">
        <v>74</v>
      </c>
      <c r="AR381" s="1" t="s">
        <v>74</v>
      </c>
      <c r="AS381" s="1" t="s">
        <v>74</v>
      </c>
      <c r="AT381" s="1" t="s">
        <v>4046</v>
      </c>
      <c r="AU381" s="1">
        <v>2021.0</v>
      </c>
      <c r="AV381" s="1">
        <v>50.0</v>
      </c>
      <c r="AW381" s="1">
        <v>34.0</v>
      </c>
      <c r="AX381" s="1" t="s">
        <v>74</v>
      </c>
      <c r="AY381" s="1" t="s">
        <v>74</v>
      </c>
      <c r="AZ381" s="1" t="s">
        <v>74</v>
      </c>
      <c r="BA381" s="1" t="s">
        <v>74</v>
      </c>
      <c r="BB381" s="1">
        <v>11931.0</v>
      </c>
      <c r="BC381" s="1">
        <v>11940.0</v>
      </c>
      <c r="BD381" s="1" t="s">
        <v>74</v>
      </c>
      <c r="BE381" s="1" t="s">
        <v>4047</v>
      </c>
      <c r="BF381" s="2" t="str">
        <f>HYPERLINK("http://dx.doi.org/10.1039/d1dt01358k","http://dx.doi.org/10.1039/d1dt01358k")</f>
        <v>http://dx.doi.org/10.1039/d1dt01358k</v>
      </c>
      <c r="BG381" s="1" t="s">
        <v>74</v>
      </c>
      <c r="BH381" s="1" t="s">
        <v>460</v>
      </c>
      <c r="BI381" s="1" t="s">
        <v>74</v>
      </c>
      <c r="BJ381" s="1" t="s">
        <v>74</v>
      </c>
      <c r="BK381" s="1" t="s">
        <v>74</v>
      </c>
      <c r="BL381" s="1" t="s">
        <v>74</v>
      </c>
      <c r="BM381" s="1" t="s">
        <v>74</v>
      </c>
      <c r="BN381" s="1">
        <v>3.4374389E7</v>
      </c>
      <c r="BO381" s="1" t="s">
        <v>74</v>
      </c>
      <c r="BP381" s="1" t="s">
        <v>74</v>
      </c>
      <c r="BQ381" s="1" t="s">
        <v>74</v>
      </c>
      <c r="BR381" s="1" t="s">
        <v>74</v>
      </c>
      <c r="BS381" s="1" t="s">
        <v>4048</v>
      </c>
      <c r="BT381" s="1" t="str">
        <f>HYPERLINK("https%3A%2F%2Fwww.webofscience.com%2Fwos%2Fwoscc%2Ffull-record%2FWOS:000683441500001","View Full Record in Web of Science")</f>
        <v>View Full Record in Web of Science</v>
      </c>
    </row>
    <row r="382" ht="12.75" customHeight="1">
      <c r="A382" s="1" t="s">
        <v>72</v>
      </c>
      <c r="B382" s="1" t="s">
        <v>4049</v>
      </c>
      <c r="C382" s="1" t="s">
        <v>74</v>
      </c>
      <c r="D382" s="1" t="s">
        <v>74</v>
      </c>
      <c r="E382" s="1" t="s">
        <v>74</v>
      </c>
      <c r="F382" s="1" t="s">
        <v>4050</v>
      </c>
      <c r="G382" s="1" t="s">
        <v>74</v>
      </c>
      <c r="H382" s="1" t="s">
        <v>74</v>
      </c>
      <c r="I382" s="1" t="s">
        <v>4051</v>
      </c>
      <c r="J382" s="1" t="s">
        <v>821</v>
      </c>
      <c r="K382" s="1" t="s">
        <v>74</v>
      </c>
      <c r="L382" s="1" t="s">
        <v>74</v>
      </c>
      <c r="M382" s="1" t="s">
        <v>74</v>
      </c>
      <c r="N382" s="1" t="s">
        <v>74</v>
      </c>
      <c r="O382" s="1" t="s">
        <v>74</v>
      </c>
      <c r="P382" s="1" t="s">
        <v>74</v>
      </c>
      <c r="Q382" s="1" t="s">
        <v>74</v>
      </c>
      <c r="R382" s="1" t="s">
        <v>74</v>
      </c>
      <c r="S382" s="1" t="s">
        <v>74</v>
      </c>
      <c r="T382" s="1" t="s">
        <v>74</v>
      </c>
      <c r="U382" s="1" t="s">
        <v>74</v>
      </c>
      <c r="V382" s="1" t="s">
        <v>4052</v>
      </c>
      <c r="W382" s="1" t="s">
        <v>74</v>
      </c>
      <c r="X382" s="1" t="s">
        <v>74</v>
      </c>
      <c r="Y382" s="1" t="s">
        <v>74</v>
      </c>
      <c r="Z382" s="1" t="s">
        <v>74</v>
      </c>
      <c r="AA382" s="1" t="s">
        <v>4053</v>
      </c>
      <c r="AB382" s="1" t="s">
        <v>4054</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74</v>
      </c>
      <c r="AP382" s="1" t="s">
        <v>825</v>
      </c>
      <c r="AQ382" s="1" t="s">
        <v>74</v>
      </c>
      <c r="AR382" s="1" t="s">
        <v>74</v>
      </c>
      <c r="AS382" s="1" t="s">
        <v>74</v>
      </c>
      <c r="AT382" s="1" t="s">
        <v>723</v>
      </c>
      <c r="AU382" s="1">
        <v>2021.0</v>
      </c>
      <c r="AV382" s="1">
        <v>9.0</v>
      </c>
      <c r="AW382" s="1" t="s">
        <v>74</v>
      </c>
      <c r="AX382" s="1" t="s">
        <v>74</v>
      </c>
      <c r="AY382" s="1" t="s">
        <v>74</v>
      </c>
      <c r="AZ382" s="1" t="s">
        <v>74</v>
      </c>
      <c r="BA382" s="1" t="s">
        <v>74</v>
      </c>
      <c r="BB382" s="1" t="s">
        <v>74</v>
      </c>
      <c r="BC382" s="1" t="s">
        <v>74</v>
      </c>
      <c r="BD382" s="1">
        <v>669038.0</v>
      </c>
      <c r="BE382" s="1" t="s">
        <v>4055</v>
      </c>
      <c r="BF382" s="2" t="str">
        <f>HYPERLINK("http://dx.doi.org/10.3389/fpubh.2021.669038","http://dx.doi.org/10.3389/fpubh.2021.669038")</f>
        <v>http://dx.doi.org/10.3389/fpubh.2021.669038</v>
      </c>
      <c r="BG382" s="1" t="s">
        <v>74</v>
      </c>
      <c r="BH382" s="1" t="s">
        <v>74</v>
      </c>
      <c r="BI382" s="1" t="s">
        <v>74</v>
      </c>
      <c r="BJ382" s="1" t="s">
        <v>74</v>
      </c>
      <c r="BK382" s="1" t="s">
        <v>74</v>
      </c>
      <c r="BL382" s="1" t="s">
        <v>74</v>
      </c>
      <c r="BM382" s="1" t="s">
        <v>74</v>
      </c>
      <c r="BN382" s="1">
        <v>3.4336766E7</v>
      </c>
      <c r="BO382" s="1" t="s">
        <v>74</v>
      </c>
      <c r="BP382" s="1" t="s">
        <v>74</v>
      </c>
      <c r="BQ382" s="1" t="s">
        <v>74</v>
      </c>
      <c r="BR382" s="1" t="s">
        <v>74</v>
      </c>
      <c r="BS382" s="1" t="s">
        <v>4056</v>
      </c>
      <c r="BT382" s="1" t="str">
        <f>HYPERLINK("https%3A%2F%2Fwww.webofscience.com%2Fwos%2Fwoscc%2Ffull-record%2FWOS:000679238200001","View Full Record in Web of Science")</f>
        <v>View Full Record in Web of Science</v>
      </c>
    </row>
    <row r="383" ht="12.75" customHeight="1">
      <c r="A383" s="1" t="s">
        <v>72</v>
      </c>
      <c r="B383" s="1" t="s">
        <v>4057</v>
      </c>
      <c r="C383" s="1" t="s">
        <v>74</v>
      </c>
      <c r="D383" s="1" t="s">
        <v>74</v>
      </c>
      <c r="E383" s="1" t="s">
        <v>74</v>
      </c>
      <c r="F383" s="1" t="s">
        <v>4058</v>
      </c>
      <c r="G383" s="1" t="s">
        <v>74</v>
      </c>
      <c r="H383" s="1" t="s">
        <v>74</v>
      </c>
      <c r="I383" s="1" t="s">
        <v>4059</v>
      </c>
      <c r="J383" s="1" t="s">
        <v>2479</v>
      </c>
      <c r="K383" s="1" t="s">
        <v>74</v>
      </c>
      <c r="L383" s="1" t="s">
        <v>74</v>
      </c>
      <c r="M383" s="1" t="s">
        <v>74</v>
      </c>
      <c r="N383" s="1" t="s">
        <v>74</v>
      </c>
      <c r="O383" s="1" t="s">
        <v>74</v>
      </c>
      <c r="P383" s="1" t="s">
        <v>74</v>
      </c>
      <c r="Q383" s="1" t="s">
        <v>74</v>
      </c>
      <c r="R383" s="1" t="s">
        <v>74</v>
      </c>
      <c r="S383" s="1" t="s">
        <v>74</v>
      </c>
      <c r="T383" s="1" t="s">
        <v>74</v>
      </c>
      <c r="U383" s="1" t="s">
        <v>74</v>
      </c>
      <c r="V383" s="1" t="s">
        <v>4060</v>
      </c>
      <c r="W383" s="1" t="s">
        <v>74</v>
      </c>
      <c r="X383" s="1" t="s">
        <v>74</v>
      </c>
      <c r="Y383" s="1" t="s">
        <v>74</v>
      </c>
      <c r="Z383" s="1" t="s">
        <v>74</v>
      </c>
      <c r="AA383" s="1" t="s">
        <v>4061</v>
      </c>
      <c r="AB383" s="1" t="s">
        <v>4062</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2483</v>
      </c>
      <c r="AP383" s="1" t="s">
        <v>74</v>
      </c>
      <c r="AQ383" s="1" t="s">
        <v>74</v>
      </c>
      <c r="AR383" s="1" t="s">
        <v>74</v>
      </c>
      <c r="AS383" s="1" t="s">
        <v>74</v>
      </c>
      <c r="AT383" s="1" t="s">
        <v>2429</v>
      </c>
      <c r="AU383" s="1">
        <v>2021.0</v>
      </c>
      <c r="AV383" s="1">
        <v>12.0</v>
      </c>
      <c r="AW383" s="1" t="s">
        <v>74</v>
      </c>
      <c r="AX383" s="1" t="s">
        <v>74</v>
      </c>
      <c r="AY383" s="1" t="s">
        <v>74</v>
      </c>
      <c r="AZ383" s="1" t="s">
        <v>74</v>
      </c>
      <c r="BA383" s="1" t="s">
        <v>74</v>
      </c>
      <c r="BB383" s="1" t="s">
        <v>74</v>
      </c>
      <c r="BC383" s="1" t="s">
        <v>74</v>
      </c>
      <c r="BD383" s="1">
        <v>613105.0</v>
      </c>
      <c r="BE383" s="1" t="s">
        <v>4063</v>
      </c>
      <c r="BF383" s="2" t="str">
        <f>HYPERLINK("http://dx.doi.org/10.3389/fphar.2021.613105","http://dx.doi.org/10.3389/fphar.2021.613105")</f>
        <v>http://dx.doi.org/10.3389/fphar.2021.613105</v>
      </c>
      <c r="BG383" s="1" t="s">
        <v>74</v>
      </c>
      <c r="BH383" s="1" t="s">
        <v>74</v>
      </c>
      <c r="BI383" s="1" t="s">
        <v>74</v>
      </c>
      <c r="BJ383" s="1" t="s">
        <v>74</v>
      </c>
      <c r="BK383" s="1" t="s">
        <v>74</v>
      </c>
      <c r="BL383" s="1" t="s">
        <v>74</v>
      </c>
      <c r="BM383" s="1" t="s">
        <v>74</v>
      </c>
      <c r="BN383" s="1">
        <v>3.3746753E7</v>
      </c>
      <c r="BO383" s="1" t="s">
        <v>74</v>
      </c>
      <c r="BP383" s="1" t="s">
        <v>74</v>
      </c>
      <c r="BQ383" s="1" t="s">
        <v>74</v>
      </c>
      <c r="BR383" s="1" t="s">
        <v>74</v>
      </c>
      <c r="BS383" s="1" t="s">
        <v>4064</v>
      </c>
      <c r="BT383" s="1" t="str">
        <f>HYPERLINK("https%3A%2F%2Fwww.webofscience.com%2Fwos%2Fwoscc%2Ffull-record%2FWOS:000630340400001","View Full Record in Web of Science")</f>
        <v>View Full Record in Web of Science</v>
      </c>
    </row>
    <row r="384" ht="12.75" customHeight="1">
      <c r="A384" s="1" t="s">
        <v>72</v>
      </c>
      <c r="B384" s="1" t="s">
        <v>4065</v>
      </c>
      <c r="C384" s="1" t="s">
        <v>74</v>
      </c>
      <c r="D384" s="1" t="s">
        <v>74</v>
      </c>
      <c r="E384" s="1" t="s">
        <v>74</v>
      </c>
      <c r="F384" s="1" t="s">
        <v>4066</v>
      </c>
      <c r="G384" s="1" t="s">
        <v>74</v>
      </c>
      <c r="H384" s="1" t="s">
        <v>74</v>
      </c>
      <c r="I384" s="1" t="s">
        <v>4067</v>
      </c>
      <c r="J384" s="1" t="s">
        <v>4068</v>
      </c>
      <c r="K384" s="1" t="s">
        <v>74</v>
      </c>
      <c r="L384" s="1" t="s">
        <v>74</v>
      </c>
      <c r="M384" s="1" t="s">
        <v>74</v>
      </c>
      <c r="N384" s="1" t="s">
        <v>74</v>
      </c>
      <c r="O384" s="1" t="s">
        <v>74</v>
      </c>
      <c r="P384" s="1" t="s">
        <v>74</v>
      </c>
      <c r="Q384" s="1" t="s">
        <v>74</v>
      </c>
      <c r="R384" s="1" t="s">
        <v>74</v>
      </c>
      <c r="S384" s="1" t="s">
        <v>74</v>
      </c>
      <c r="T384" s="1" t="s">
        <v>74</v>
      </c>
      <c r="U384" s="1" t="s">
        <v>74</v>
      </c>
      <c r="V384" s="1" t="s">
        <v>4069</v>
      </c>
      <c r="W384" s="1" t="s">
        <v>74</v>
      </c>
      <c r="X384" s="1" t="s">
        <v>74</v>
      </c>
      <c r="Y384" s="1" t="s">
        <v>74</v>
      </c>
      <c r="Z384" s="1" t="s">
        <v>74</v>
      </c>
      <c r="AA384" s="1" t="s">
        <v>4070</v>
      </c>
      <c r="AB384" s="1" t="s">
        <v>4071</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4072</v>
      </c>
      <c r="AP384" s="1" t="s">
        <v>4073</v>
      </c>
      <c r="AQ384" s="1" t="s">
        <v>74</v>
      </c>
      <c r="AR384" s="1" t="s">
        <v>74</v>
      </c>
      <c r="AS384" s="1" t="s">
        <v>74</v>
      </c>
      <c r="AT384" s="1" t="s">
        <v>94</v>
      </c>
      <c r="AU384" s="1">
        <v>2020.0</v>
      </c>
      <c r="AV384" s="1">
        <v>52.0</v>
      </c>
      <c r="AW384" s="1" t="s">
        <v>74</v>
      </c>
      <c r="AX384" s="1" t="s">
        <v>74</v>
      </c>
      <c r="AY384" s="1" t="s">
        <v>74</v>
      </c>
      <c r="AZ384" s="1" t="s">
        <v>74</v>
      </c>
      <c r="BA384" s="1" t="s">
        <v>74</v>
      </c>
      <c r="BB384" s="1">
        <v>7.0</v>
      </c>
      <c r="BC384" s="1">
        <v>14.0</v>
      </c>
      <c r="BD384" s="1" t="s">
        <v>74</v>
      </c>
      <c r="BE384" s="1" t="s">
        <v>4074</v>
      </c>
      <c r="BF384" s="2" t="str">
        <f>HYPERLINK("http://dx.doi.org/10.1016/j.annepidem.2020.09.009","http://dx.doi.org/10.1016/j.annepidem.2020.09.009")</f>
        <v>http://dx.doi.org/10.1016/j.annepidem.2020.09.009</v>
      </c>
      <c r="BG384" s="1" t="s">
        <v>74</v>
      </c>
      <c r="BH384" s="1" t="s">
        <v>74</v>
      </c>
      <c r="BI384" s="1" t="s">
        <v>74</v>
      </c>
      <c r="BJ384" s="1" t="s">
        <v>74</v>
      </c>
      <c r="BK384" s="1" t="s">
        <v>74</v>
      </c>
      <c r="BL384" s="1" t="s">
        <v>74</v>
      </c>
      <c r="BM384" s="1" t="s">
        <v>74</v>
      </c>
      <c r="BN384" s="1">
        <v>3.2950658E7</v>
      </c>
      <c r="BO384" s="1" t="s">
        <v>74</v>
      </c>
      <c r="BP384" s="1" t="s">
        <v>74</v>
      </c>
      <c r="BQ384" s="1" t="s">
        <v>74</v>
      </c>
      <c r="BR384" s="1" t="s">
        <v>74</v>
      </c>
      <c r="BS384" s="1" t="s">
        <v>4075</v>
      </c>
      <c r="BT384" s="1" t="str">
        <f>HYPERLINK("https%3A%2F%2Fwww.webofscience.com%2Fwos%2Fwoscc%2Ffull-record%2FWOS:000601303400002","View Full Record in Web of Science")</f>
        <v>View Full Record in Web of Science</v>
      </c>
    </row>
    <row r="385" ht="12.75" customHeight="1">
      <c r="A385" s="1" t="s">
        <v>72</v>
      </c>
      <c r="B385" s="1" t="s">
        <v>4076</v>
      </c>
      <c r="C385" s="1" t="s">
        <v>74</v>
      </c>
      <c r="D385" s="1" t="s">
        <v>74</v>
      </c>
      <c r="E385" s="1" t="s">
        <v>74</v>
      </c>
      <c r="F385" s="1" t="s">
        <v>4077</v>
      </c>
      <c r="G385" s="1" t="s">
        <v>74</v>
      </c>
      <c r="H385" s="1" t="s">
        <v>74</v>
      </c>
      <c r="I385" s="1" t="s">
        <v>4078</v>
      </c>
      <c r="J385" s="1" t="s">
        <v>4079</v>
      </c>
      <c r="K385" s="1" t="s">
        <v>74</v>
      </c>
      <c r="L385" s="1" t="s">
        <v>74</v>
      </c>
      <c r="M385" s="1" t="s">
        <v>74</v>
      </c>
      <c r="N385" s="1" t="s">
        <v>74</v>
      </c>
      <c r="O385" s="1" t="s">
        <v>74</v>
      </c>
      <c r="P385" s="1" t="s">
        <v>74</v>
      </c>
      <c r="Q385" s="1" t="s">
        <v>74</v>
      </c>
      <c r="R385" s="1" t="s">
        <v>74</v>
      </c>
      <c r="S385" s="1" t="s">
        <v>74</v>
      </c>
      <c r="T385" s="1" t="s">
        <v>74</v>
      </c>
      <c r="U385" s="1" t="s">
        <v>74</v>
      </c>
      <c r="V385" s="1" t="s">
        <v>4080</v>
      </c>
      <c r="W385" s="1" t="s">
        <v>74</v>
      </c>
      <c r="X385" s="1" t="s">
        <v>74</v>
      </c>
      <c r="Y385" s="1" t="s">
        <v>74</v>
      </c>
      <c r="Z385" s="1" t="s">
        <v>74</v>
      </c>
      <c r="AA385" s="1" t="s">
        <v>4081</v>
      </c>
      <c r="AB385" s="1" t="s">
        <v>4082</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4083</v>
      </c>
      <c r="AP385" s="1" t="s">
        <v>4084</v>
      </c>
      <c r="AQ385" s="1" t="s">
        <v>74</v>
      </c>
      <c r="AR385" s="1" t="s">
        <v>74</v>
      </c>
      <c r="AS385" s="1" t="s">
        <v>74</v>
      </c>
      <c r="AT385" s="1" t="s">
        <v>787</v>
      </c>
      <c r="AU385" s="1">
        <v>2018.0</v>
      </c>
      <c r="AV385" s="1">
        <v>44.0</v>
      </c>
      <c r="AW385" s="1" t="s">
        <v>74</v>
      </c>
      <c r="AX385" s="1" t="s">
        <v>74</v>
      </c>
      <c r="AY385" s="1" t="s">
        <v>74</v>
      </c>
      <c r="AZ385" s="1" t="s">
        <v>74</v>
      </c>
      <c r="BA385" s="1" t="s">
        <v>74</v>
      </c>
      <c r="BB385" s="1" t="s">
        <v>74</v>
      </c>
      <c r="BC385" s="1" t="s">
        <v>74</v>
      </c>
      <c r="BD385" s="1">
        <v>9.0</v>
      </c>
      <c r="BE385" s="1" t="s">
        <v>4085</v>
      </c>
      <c r="BF385" s="2" t="str">
        <f>HYPERLINK("http://dx.doi.org/10.1186/s13052-018-0451-7","http://dx.doi.org/10.1186/s13052-018-0451-7")</f>
        <v>http://dx.doi.org/10.1186/s13052-018-0451-7</v>
      </c>
      <c r="BG385" s="1" t="s">
        <v>74</v>
      </c>
      <c r="BH385" s="1" t="s">
        <v>74</v>
      </c>
      <c r="BI385" s="1" t="s">
        <v>74</v>
      </c>
      <c r="BJ385" s="1" t="s">
        <v>74</v>
      </c>
      <c r="BK385" s="1" t="s">
        <v>74</v>
      </c>
      <c r="BL385" s="1" t="s">
        <v>74</v>
      </c>
      <c r="BM385" s="1" t="s">
        <v>74</v>
      </c>
      <c r="BN385" s="1">
        <v>2.9334985E7</v>
      </c>
      <c r="BO385" s="1" t="s">
        <v>74</v>
      </c>
      <c r="BP385" s="1" t="s">
        <v>74</v>
      </c>
      <c r="BQ385" s="1" t="s">
        <v>74</v>
      </c>
      <c r="BR385" s="1" t="s">
        <v>74</v>
      </c>
      <c r="BS385" s="1" t="s">
        <v>4086</v>
      </c>
      <c r="BT385" s="1" t="str">
        <f>HYPERLINK("https%3A%2F%2Fwww.webofscience.com%2Fwos%2Fwoscc%2Ffull-record%2FWOS:000419981500003","View Full Record in Web of Science")</f>
        <v>View Full Record in Web of Science</v>
      </c>
    </row>
    <row r="386" ht="12.75" customHeight="1">
      <c r="A386" s="1" t="s">
        <v>72</v>
      </c>
      <c r="B386" s="1" t="s">
        <v>4087</v>
      </c>
      <c r="C386" s="1" t="s">
        <v>74</v>
      </c>
      <c r="D386" s="1" t="s">
        <v>74</v>
      </c>
      <c r="E386" s="1" t="s">
        <v>74</v>
      </c>
      <c r="F386" s="1" t="s">
        <v>4088</v>
      </c>
      <c r="G386" s="1" t="s">
        <v>74</v>
      </c>
      <c r="H386" s="1" t="s">
        <v>74</v>
      </c>
      <c r="I386" s="1" t="s">
        <v>4089</v>
      </c>
      <c r="J386" s="1" t="s">
        <v>4090</v>
      </c>
      <c r="K386" s="1" t="s">
        <v>74</v>
      </c>
      <c r="L386" s="1" t="s">
        <v>74</v>
      </c>
      <c r="M386" s="1" t="s">
        <v>74</v>
      </c>
      <c r="N386" s="1" t="s">
        <v>74</v>
      </c>
      <c r="O386" s="1" t="s">
        <v>74</v>
      </c>
      <c r="P386" s="1" t="s">
        <v>74</v>
      </c>
      <c r="Q386" s="1" t="s">
        <v>74</v>
      </c>
      <c r="R386" s="1" t="s">
        <v>74</v>
      </c>
      <c r="S386" s="1" t="s">
        <v>74</v>
      </c>
      <c r="T386" s="1" t="s">
        <v>74</v>
      </c>
      <c r="U386" s="1" t="s">
        <v>74</v>
      </c>
      <c r="V386" s="1" t="s">
        <v>4091</v>
      </c>
      <c r="W386" s="1" t="s">
        <v>74</v>
      </c>
      <c r="X386" s="1" t="s">
        <v>74</v>
      </c>
      <c r="Y386" s="1" t="s">
        <v>74</v>
      </c>
      <c r="Z386" s="1" t="s">
        <v>74</v>
      </c>
      <c r="AA386" s="1" t="s">
        <v>4092</v>
      </c>
      <c r="AB386" s="1" t="s">
        <v>4093</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4094</v>
      </c>
      <c r="AP386" s="1" t="s">
        <v>74</v>
      </c>
      <c r="AQ386" s="1" t="s">
        <v>74</v>
      </c>
      <c r="AR386" s="1" t="s">
        <v>74</v>
      </c>
      <c r="AS386" s="1" t="s">
        <v>74</v>
      </c>
      <c r="AT386" s="1" t="s">
        <v>392</v>
      </c>
      <c r="AU386" s="1">
        <v>2024.0</v>
      </c>
      <c r="AV386" s="1">
        <v>22.0</v>
      </c>
      <c r="AW386" s="1" t="s">
        <v>74</v>
      </c>
      <c r="AX386" s="1" t="s">
        <v>74</v>
      </c>
      <c r="AY386" s="1" t="s">
        <v>74</v>
      </c>
      <c r="AZ386" s="1" t="s">
        <v>74</v>
      </c>
      <c r="BA386" s="1" t="s">
        <v>74</v>
      </c>
      <c r="BB386" s="1" t="s">
        <v>74</v>
      </c>
      <c r="BC386" s="1" t="s">
        <v>74</v>
      </c>
      <c r="BD386" s="1">
        <v>100548.0</v>
      </c>
      <c r="BE386" s="1" t="s">
        <v>4095</v>
      </c>
      <c r="BF386" s="2" t="str">
        <f>HYPERLINK("http://dx.doi.org/10.1016/j.ecmx.2024.100548","http://dx.doi.org/10.1016/j.ecmx.2024.100548")</f>
        <v>http://dx.doi.org/10.1016/j.ecmx.2024.100548</v>
      </c>
      <c r="BG386" s="1" t="s">
        <v>74</v>
      </c>
      <c r="BH386" s="1" t="s">
        <v>1329</v>
      </c>
      <c r="BI386" s="1" t="s">
        <v>74</v>
      </c>
      <c r="BJ386" s="1" t="s">
        <v>74</v>
      </c>
      <c r="BK386" s="1" t="s">
        <v>74</v>
      </c>
      <c r="BL386" s="1" t="s">
        <v>74</v>
      </c>
      <c r="BM386" s="1" t="s">
        <v>74</v>
      </c>
      <c r="BN386" s="1" t="s">
        <v>74</v>
      </c>
      <c r="BO386" s="1" t="s">
        <v>74</v>
      </c>
      <c r="BP386" s="1" t="s">
        <v>74</v>
      </c>
      <c r="BQ386" s="1" t="s">
        <v>74</v>
      </c>
      <c r="BR386" s="1" t="s">
        <v>74</v>
      </c>
      <c r="BS386" s="1" t="s">
        <v>4096</v>
      </c>
      <c r="BT386" s="1" t="str">
        <f>HYPERLINK("https%3A%2F%2Fwww.webofscience.com%2Fwos%2Fwoscc%2Ffull-record%2FWOS:001202784800001","View Full Record in Web of Science")</f>
        <v>View Full Record in Web of Science</v>
      </c>
    </row>
    <row r="387" ht="12.75" customHeight="1">
      <c r="A387" s="1" t="s">
        <v>72</v>
      </c>
      <c r="B387" s="1" t="s">
        <v>4097</v>
      </c>
      <c r="C387" s="1" t="s">
        <v>74</v>
      </c>
      <c r="D387" s="1" t="s">
        <v>74</v>
      </c>
      <c r="E387" s="1" t="s">
        <v>74</v>
      </c>
      <c r="F387" s="1" t="s">
        <v>4098</v>
      </c>
      <c r="G387" s="1" t="s">
        <v>74</v>
      </c>
      <c r="H387" s="1" t="s">
        <v>74</v>
      </c>
      <c r="I387" s="1" t="s">
        <v>4099</v>
      </c>
      <c r="J387" s="1" t="s">
        <v>3102</v>
      </c>
      <c r="K387" s="1" t="s">
        <v>74</v>
      </c>
      <c r="L387" s="1" t="s">
        <v>74</v>
      </c>
      <c r="M387" s="1" t="s">
        <v>74</v>
      </c>
      <c r="N387" s="1" t="s">
        <v>74</v>
      </c>
      <c r="O387" s="1" t="s">
        <v>74</v>
      </c>
      <c r="P387" s="1" t="s">
        <v>74</v>
      </c>
      <c r="Q387" s="1" t="s">
        <v>74</v>
      </c>
      <c r="R387" s="1" t="s">
        <v>74</v>
      </c>
      <c r="S387" s="1" t="s">
        <v>74</v>
      </c>
      <c r="T387" s="1" t="s">
        <v>74</v>
      </c>
      <c r="U387" s="1" t="s">
        <v>74</v>
      </c>
      <c r="V387" s="1" t="s">
        <v>4100</v>
      </c>
      <c r="W387" s="1" t="s">
        <v>74</v>
      </c>
      <c r="X387" s="1" t="s">
        <v>74</v>
      </c>
      <c r="Y387" s="1" t="s">
        <v>74</v>
      </c>
      <c r="Z387" s="1" t="s">
        <v>74</v>
      </c>
      <c r="AA387" s="1" t="s">
        <v>4101</v>
      </c>
      <c r="AB387" s="1" t="s">
        <v>4102</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74</v>
      </c>
      <c r="AP387" s="1" t="s">
        <v>3106</v>
      </c>
      <c r="AQ387" s="1" t="s">
        <v>74</v>
      </c>
      <c r="AR387" s="1" t="s">
        <v>74</v>
      </c>
      <c r="AS387" s="1" t="s">
        <v>74</v>
      </c>
      <c r="AT387" s="1" t="s">
        <v>346</v>
      </c>
      <c r="AU387" s="1">
        <v>2023.0</v>
      </c>
      <c r="AV387" s="1">
        <v>13.0</v>
      </c>
      <c r="AW387" s="1">
        <v>6.0</v>
      </c>
      <c r="AX387" s="1" t="s">
        <v>74</v>
      </c>
      <c r="AY387" s="1" t="s">
        <v>74</v>
      </c>
      <c r="AZ387" s="1" t="s">
        <v>74</v>
      </c>
      <c r="BA387" s="1" t="s">
        <v>74</v>
      </c>
      <c r="BB387" s="1" t="s">
        <v>74</v>
      </c>
      <c r="BC387" s="1" t="s">
        <v>74</v>
      </c>
      <c r="BD387" s="1">
        <v>3510.0</v>
      </c>
      <c r="BE387" s="1" t="s">
        <v>4103</v>
      </c>
      <c r="BF387" s="2" t="str">
        <f>HYPERLINK("http://dx.doi.org/10.3390/app13063510","http://dx.doi.org/10.3390/app13063510")</f>
        <v>http://dx.doi.org/10.3390/app13063510</v>
      </c>
      <c r="BG387" s="1" t="s">
        <v>74</v>
      </c>
      <c r="BH387" s="1" t="s">
        <v>74</v>
      </c>
      <c r="BI387" s="1" t="s">
        <v>74</v>
      </c>
      <c r="BJ387" s="1" t="s">
        <v>74</v>
      </c>
      <c r="BK387" s="1" t="s">
        <v>74</v>
      </c>
      <c r="BL387" s="1" t="s">
        <v>74</v>
      </c>
      <c r="BM387" s="1" t="s">
        <v>74</v>
      </c>
      <c r="BN387" s="1" t="s">
        <v>74</v>
      </c>
      <c r="BO387" s="1" t="s">
        <v>74</v>
      </c>
      <c r="BP387" s="1" t="s">
        <v>74</v>
      </c>
      <c r="BQ387" s="1" t="s">
        <v>74</v>
      </c>
      <c r="BR387" s="1" t="s">
        <v>74</v>
      </c>
      <c r="BS387" s="1" t="s">
        <v>4104</v>
      </c>
      <c r="BT387" s="1" t="str">
        <f>HYPERLINK("https%3A%2F%2Fwww.webofscience.com%2Fwos%2Fwoscc%2Ffull-record%2FWOS:000968470400001","View Full Record in Web of Science")</f>
        <v>View Full Record in Web of Science</v>
      </c>
    </row>
    <row r="388" ht="12.75" customHeight="1">
      <c r="A388" s="1" t="s">
        <v>72</v>
      </c>
      <c r="B388" s="1" t="s">
        <v>4105</v>
      </c>
      <c r="C388" s="1" t="s">
        <v>74</v>
      </c>
      <c r="D388" s="1" t="s">
        <v>74</v>
      </c>
      <c r="E388" s="1" t="s">
        <v>74</v>
      </c>
      <c r="F388" s="1" t="s">
        <v>4106</v>
      </c>
      <c r="G388" s="1" t="s">
        <v>74</v>
      </c>
      <c r="H388" s="1" t="s">
        <v>74</v>
      </c>
      <c r="I388" s="1" t="s">
        <v>4107</v>
      </c>
      <c r="J388" s="1" t="s">
        <v>4108</v>
      </c>
      <c r="K388" s="1" t="s">
        <v>74</v>
      </c>
      <c r="L388" s="1" t="s">
        <v>74</v>
      </c>
      <c r="M388" s="1" t="s">
        <v>74</v>
      </c>
      <c r="N388" s="1" t="s">
        <v>74</v>
      </c>
      <c r="O388" s="1" t="s">
        <v>74</v>
      </c>
      <c r="P388" s="1" t="s">
        <v>74</v>
      </c>
      <c r="Q388" s="1" t="s">
        <v>74</v>
      </c>
      <c r="R388" s="1" t="s">
        <v>74</v>
      </c>
      <c r="S388" s="1" t="s">
        <v>74</v>
      </c>
      <c r="T388" s="1" t="s">
        <v>74</v>
      </c>
      <c r="U388" s="1" t="s">
        <v>74</v>
      </c>
      <c r="V388" s="1" t="s">
        <v>4109</v>
      </c>
      <c r="W388" s="1" t="s">
        <v>74</v>
      </c>
      <c r="X388" s="1" t="s">
        <v>74</v>
      </c>
      <c r="Y388" s="1" t="s">
        <v>74</v>
      </c>
      <c r="Z388" s="1" t="s">
        <v>74</v>
      </c>
      <c r="AA388" s="1" t="s">
        <v>4110</v>
      </c>
      <c r="AB388" s="1" t="s">
        <v>4111</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4112</v>
      </c>
      <c r="AP388" s="1" t="s">
        <v>4113</v>
      </c>
      <c r="AQ388" s="1" t="s">
        <v>74</v>
      </c>
      <c r="AR388" s="1" t="s">
        <v>74</v>
      </c>
      <c r="AS388" s="1" t="s">
        <v>74</v>
      </c>
      <c r="AT388" s="1" t="s">
        <v>346</v>
      </c>
      <c r="AU388" s="1">
        <v>2023.0</v>
      </c>
      <c r="AV388" s="1">
        <v>566.0</v>
      </c>
      <c r="AW388" s="1" t="s">
        <v>74</v>
      </c>
      <c r="AX388" s="1" t="s">
        <v>74</v>
      </c>
      <c r="AY388" s="1" t="s">
        <v>74</v>
      </c>
      <c r="AZ388" s="1" t="s">
        <v>74</v>
      </c>
      <c r="BA388" s="1" t="s">
        <v>74</v>
      </c>
      <c r="BB388" s="1" t="s">
        <v>74</v>
      </c>
      <c r="BC388" s="1" t="s">
        <v>74</v>
      </c>
      <c r="BD388" s="1">
        <v>113677.0</v>
      </c>
      <c r="BE388" s="1" t="s">
        <v>4114</v>
      </c>
      <c r="BF388" s="2" t="str">
        <f>HYPERLINK("http://dx.doi.org/10.1016/j.fluid.2022.113677","http://dx.doi.org/10.1016/j.fluid.2022.113677")</f>
        <v>http://dx.doi.org/10.1016/j.fluid.2022.113677</v>
      </c>
      <c r="BG388" s="1" t="s">
        <v>74</v>
      </c>
      <c r="BH388" s="1" t="s">
        <v>1519</v>
      </c>
      <c r="BI388" s="1" t="s">
        <v>74</v>
      </c>
      <c r="BJ388" s="1" t="s">
        <v>74</v>
      </c>
      <c r="BK388" s="1" t="s">
        <v>74</v>
      </c>
      <c r="BL388" s="1" t="s">
        <v>74</v>
      </c>
      <c r="BM388" s="1" t="s">
        <v>74</v>
      </c>
      <c r="BN388" s="1" t="s">
        <v>74</v>
      </c>
      <c r="BO388" s="1" t="s">
        <v>74</v>
      </c>
      <c r="BP388" s="1" t="s">
        <v>74</v>
      </c>
      <c r="BQ388" s="1" t="s">
        <v>74</v>
      </c>
      <c r="BR388" s="1" t="s">
        <v>74</v>
      </c>
      <c r="BS388" s="1" t="s">
        <v>4115</v>
      </c>
      <c r="BT388" s="1" t="str">
        <f>HYPERLINK("https%3A%2F%2Fwww.webofscience.com%2Fwos%2Fwoscc%2Ffull-record%2FWOS:001015691100001","View Full Record in Web of Science")</f>
        <v>View Full Record in Web of Science</v>
      </c>
    </row>
    <row r="389" ht="12.75" customHeight="1">
      <c r="A389" s="1" t="s">
        <v>1303</v>
      </c>
      <c r="B389" s="1" t="s">
        <v>4116</v>
      </c>
      <c r="C389" s="1" t="s">
        <v>74</v>
      </c>
      <c r="D389" s="1" t="s">
        <v>4117</v>
      </c>
      <c r="E389" s="1" t="s">
        <v>74</v>
      </c>
      <c r="F389" s="1" t="s">
        <v>4118</v>
      </c>
      <c r="G389" s="1" t="s">
        <v>74</v>
      </c>
      <c r="H389" s="1" t="s">
        <v>74</v>
      </c>
      <c r="I389" s="1" t="s">
        <v>4119</v>
      </c>
      <c r="J389" s="1" t="s">
        <v>4120</v>
      </c>
      <c r="K389" s="1" t="s">
        <v>4121</v>
      </c>
      <c r="L389" s="1" t="s">
        <v>74</v>
      </c>
      <c r="M389" s="1" t="s">
        <v>74</v>
      </c>
      <c r="N389" s="1" t="s">
        <v>74</v>
      </c>
      <c r="O389" s="1" t="s">
        <v>74</v>
      </c>
      <c r="P389" s="1" t="s">
        <v>74</v>
      </c>
      <c r="Q389" s="1" t="s">
        <v>74</v>
      </c>
      <c r="R389" s="1" t="s">
        <v>74</v>
      </c>
      <c r="S389" s="1" t="s">
        <v>74</v>
      </c>
      <c r="T389" s="1" t="s">
        <v>74</v>
      </c>
      <c r="U389" s="1" t="s">
        <v>74</v>
      </c>
      <c r="V389" s="1" t="s">
        <v>4122</v>
      </c>
      <c r="W389" s="1" t="s">
        <v>74</v>
      </c>
      <c r="X389" s="1" t="s">
        <v>74</v>
      </c>
      <c r="Y389" s="1" t="s">
        <v>74</v>
      </c>
      <c r="Z389" s="1" t="s">
        <v>74</v>
      </c>
      <c r="AA389" s="1" t="s">
        <v>74</v>
      </c>
      <c r="AB389" s="1" t="s">
        <v>74</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4123</v>
      </c>
      <c r="AP389" s="1" t="s">
        <v>74</v>
      </c>
      <c r="AQ389" s="1" t="s">
        <v>4124</v>
      </c>
      <c r="AR389" s="1" t="s">
        <v>74</v>
      </c>
      <c r="AS389" s="1" t="s">
        <v>74</v>
      </c>
      <c r="AT389" s="1" t="s">
        <v>74</v>
      </c>
      <c r="AU389" s="1">
        <v>2015.0</v>
      </c>
      <c r="AV389" s="1">
        <v>309.0</v>
      </c>
      <c r="AW389" s="1" t="s">
        <v>74</v>
      </c>
      <c r="AX389" s="1" t="s">
        <v>74</v>
      </c>
      <c r="AY389" s="1" t="s">
        <v>74</v>
      </c>
      <c r="AZ389" s="1" t="s">
        <v>74</v>
      </c>
      <c r="BA389" s="1" t="s">
        <v>74</v>
      </c>
      <c r="BB389" s="1">
        <v>137.0</v>
      </c>
      <c r="BC389" s="1">
        <v>194.0</v>
      </c>
      <c r="BD389" s="1" t="s">
        <v>74</v>
      </c>
      <c r="BE389" s="1" t="s">
        <v>74</v>
      </c>
      <c r="BF389" s="1" t="s">
        <v>74</v>
      </c>
      <c r="BG389" s="1" t="s">
        <v>4125</v>
      </c>
      <c r="BH389" s="1" t="s">
        <v>74</v>
      </c>
      <c r="BI389" s="1" t="s">
        <v>74</v>
      </c>
      <c r="BJ389" s="1" t="s">
        <v>74</v>
      </c>
      <c r="BK389" s="1" t="s">
        <v>74</v>
      </c>
      <c r="BL389" s="1" t="s">
        <v>74</v>
      </c>
      <c r="BM389" s="1" t="s">
        <v>74</v>
      </c>
      <c r="BN389" s="1" t="s">
        <v>74</v>
      </c>
      <c r="BO389" s="1" t="s">
        <v>74</v>
      </c>
      <c r="BP389" s="1" t="s">
        <v>74</v>
      </c>
      <c r="BQ389" s="1" t="s">
        <v>74</v>
      </c>
      <c r="BR389" s="1" t="s">
        <v>74</v>
      </c>
      <c r="BS389" s="1" t="s">
        <v>4126</v>
      </c>
      <c r="BT389" s="1" t="str">
        <f>HYPERLINK("https%3A%2F%2Fwww.webofscience.com%2Fwos%2Fwoscc%2Ffull-record%2FWOS:000383440400006","View Full Record in Web of Science")</f>
        <v>View Full Record in Web of Science</v>
      </c>
    </row>
    <row r="390" ht="12.75" customHeight="1">
      <c r="A390" s="1" t="s">
        <v>72</v>
      </c>
      <c r="B390" s="1" t="s">
        <v>4127</v>
      </c>
      <c r="C390" s="1" t="s">
        <v>74</v>
      </c>
      <c r="D390" s="1" t="s">
        <v>74</v>
      </c>
      <c r="E390" s="1" t="s">
        <v>74</v>
      </c>
      <c r="F390" s="1" t="s">
        <v>4128</v>
      </c>
      <c r="G390" s="1" t="s">
        <v>74</v>
      </c>
      <c r="H390" s="1" t="s">
        <v>74</v>
      </c>
      <c r="I390" s="1" t="s">
        <v>4129</v>
      </c>
      <c r="J390" s="1" t="s">
        <v>1269</v>
      </c>
      <c r="K390" s="1" t="s">
        <v>74</v>
      </c>
      <c r="L390" s="1" t="s">
        <v>74</v>
      </c>
      <c r="M390" s="1" t="s">
        <v>74</v>
      </c>
      <c r="N390" s="1" t="s">
        <v>74</v>
      </c>
      <c r="O390" s="1" t="s">
        <v>74</v>
      </c>
      <c r="P390" s="1" t="s">
        <v>74</v>
      </c>
      <c r="Q390" s="1" t="s">
        <v>74</v>
      </c>
      <c r="R390" s="1" t="s">
        <v>74</v>
      </c>
      <c r="S390" s="1" t="s">
        <v>74</v>
      </c>
      <c r="T390" s="1" t="s">
        <v>74</v>
      </c>
      <c r="U390" s="1" t="s">
        <v>74</v>
      </c>
      <c r="V390" s="1" t="s">
        <v>4130</v>
      </c>
      <c r="W390" s="1" t="s">
        <v>74</v>
      </c>
      <c r="X390" s="1" t="s">
        <v>74</v>
      </c>
      <c r="Y390" s="1" t="s">
        <v>74</v>
      </c>
      <c r="Z390" s="1" t="s">
        <v>74</v>
      </c>
      <c r="AA390" s="1" t="s">
        <v>3794</v>
      </c>
      <c r="AB390" s="1" t="s">
        <v>4131</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1273</v>
      </c>
      <c r="AP390" s="1" t="s">
        <v>1274</v>
      </c>
      <c r="AQ390" s="1" t="s">
        <v>74</v>
      </c>
      <c r="AR390" s="1" t="s">
        <v>74</v>
      </c>
      <c r="AS390" s="1" t="s">
        <v>74</v>
      </c>
      <c r="AT390" s="1" t="s">
        <v>1710</v>
      </c>
      <c r="AU390" s="1">
        <v>2011.0</v>
      </c>
      <c r="AV390" s="1">
        <v>116.0</v>
      </c>
      <c r="AW390" s="1" t="s">
        <v>74</v>
      </c>
      <c r="AX390" s="1" t="s">
        <v>74</v>
      </c>
      <c r="AY390" s="1" t="s">
        <v>74</v>
      </c>
      <c r="AZ390" s="1" t="s">
        <v>74</v>
      </c>
      <c r="BA390" s="1" t="s">
        <v>74</v>
      </c>
      <c r="BB390" s="1" t="s">
        <v>74</v>
      </c>
      <c r="BC390" s="1" t="s">
        <v>74</v>
      </c>
      <c r="BD390" s="1" t="s">
        <v>4132</v>
      </c>
      <c r="BE390" s="1" t="s">
        <v>4133</v>
      </c>
      <c r="BF390" s="2" t="str">
        <f>HYPERLINK("http://dx.doi.org/10.1029/2010JA015887","http://dx.doi.org/10.1029/2010JA015887")</f>
        <v>http://dx.doi.org/10.1029/2010JA015887</v>
      </c>
      <c r="BG390" s="1" t="s">
        <v>74</v>
      </c>
      <c r="BH390" s="1" t="s">
        <v>74</v>
      </c>
      <c r="BI390" s="1" t="s">
        <v>74</v>
      </c>
      <c r="BJ390" s="1" t="s">
        <v>74</v>
      </c>
      <c r="BK390" s="1" t="s">
        <v>74</v>
      </c>
      <c r="BL390" s="1" t="s">
        <v>74</v>
      </c>
      <c r="BM390" s="1" t="s">
        <v>74</v>
      </c>
      <c r="BN390" s="1" t="s">
        <v>74</v>
      </c>
      <c r="BO390" s="1" t="s">
        <v>74</v>
      </c>
      <c r="BP390" s="1" t="s">
        <v>74</v>
      </c>
      <c r="BQ390" s="1" t="s">
        <v>74</v>
      </c>
      <c r="BR390" s="1" t="s">
        <v>74</v>
      </c>
      <c r="BS390" s="1" t="s">
        <v>4134</v>
      </c>
      <c r="BT390" s="1" t="str">
        <f>HYPERLINK("https%3A%2F%2Fwww.webofscience.com%2Fwos%2Fwoscc%2Ffull-record%2FWOS:000286764400002","View Full Record in Web of Science")</f>
        <v>View Full Record in Web of Science</v>
      </c>
    </row>
    <row r="391" ht="12.75" customHeight="1">
      <c r="A391" s="1" t="s">
        <v>72</v>
      </c>
      <c r="B391" s="1" t="s">
        <v>4135</v>
      </c>
      <c r="C391" s="1" t="s">
        <v>74</v>
      </c>
      <c r="D391" s="1" t="s">
        <v>74</v>
      </c>
      <c r="E391" s="1" t="s">
        <v>74</v>
      </c>
      <c r="F391" s="1" t="s">
        <v>4136</v>
      </c>
      <c r="G391" s="1" t="s">
        <v>74</v>
      </c>
      <c r="H391" s="1" t="s">
        <v>74</v>
      </c>
      <c r="I391" s="1" t="s">
        <v>4137</v>
      </c>
      <c r="J391" s="1" t="s">
        <v>1441</v>
      </c>
      <c r="K391" s="1" t="s">
        <v>74</v>
      </c>
      <c r="L391" s="1" t="s">
        <v>74</v>
      </c>
      <c r="M391" s="1" t="s">
        <v>74</v>
      </c>
      <c r="N391" s="1" t="s">
        <v>74</v>
      </c>
      <c r="O391" s="1" t="s">
        <v>74</v>
      </c>
      <c r="P391" s="1" t="s">
        <v>74</v>
      </c>
      <c r="Q391" s="1" t="s">
        <v>74</v>
      </c>
      <c r="R391" s="1" t="s">
        <v>74</v>
      </c>
      <c r="S391" s="1" t="s">
        <v>74</v>
      </c>
      <c r="T391" s="1" t="s">
        <v>74</v>
      </c>
      <c r="U391" s="1" t="s">
        <v>74</v>
      </c>
      <c r="V391" s="1" t="s">
        <v>4138</v>
      </c>
      <c r="W391" s="1" t="s">
        <v>74</v>
      </c>
      <c r="X391" s="1" t="s">
        <v>74</v>
      </c>
      <c r="Y391" s="1" t="s">
        <v>74</v>
      </c>
      <c r="Z391" s="1" t="s">
        <v>74</v>
      </c>
      <c r="AA391" s="1" t="s">
        <v>4139</v>
      </c>
      <c r="AB391" s="1" t="s">
        <v>4140</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1445</v>
      </c>
      <c r="AP391" s="1" t="s">
        <v>1446</v>
      </c>
      <c r="AQ391" s="1" t="s">
        <v>74</v>
      </c>
      <c r="AR391" s="1" t="s">
        <v>74</v>
      </c>
      <c r="AS391" s="1" t="s">
        <v>74</v>
      </c>
      <c r="AT391" s="1" t="s">
        <v>447</v>
      </c>
      <c r="AU391" s="1">
        <v>2020.0</v>
      </c>
      <c r="AV391" s="1">
        <v>899.0</v>
      </c>
      <c r="AW391" s="1">
        <v>1.0</v>
      </c>
      <c r="AX391" s="1" t="s">
        <v>74</v>
      </c>
      <c r="AY391" s="1" t="s">
        <v>74</v>
      </c>
      <c r="AZ391" s="1" t="s">
        <v>74</v>
      </c>
      <c r="BA391" s="1" t="s">
        <v>74</v>
      </c>
      <c r="BB391" s="1" t="s">
        <v>74</v>
      </c>
      <c r="BC391" s="1" t="s">
        <v>74</v>
      </c>
      <c r="BD391" s="1">
        <v>20.0</v>
      </c>
      <c r="BE391" s="1" t="s">
        <v>4141</v>
      </c>
      <c r="BF391" s="2" t="str">
        <f>HYPERLINK("http://dx.doi.org/10.3847/1538-4357/ab9ca1","http://dx.doi.org/10.3847/1538-4357/ab9ca1")</f>
        <v>http://dx.doi.org/10.3847/1538-4357/ab9ca1</v>
      </c>
      <c r="BG391" s="1" t="s">
        <v>74</v>
      </c>
      <c r="BH391" s="1" t="s">
        <v>74</v>
      </c>
      <c r="BI391" s="1" t="s">
        <v>74</v>
      </c>
      <c r="BJ391" s="1" t="s">
        <v>74</v>
      </c>
      <c r="BK391" s="1" t="s">
        <v>74</v>
      </c>
      <c r="BL391" s="1" t="s">
        <v>74</v>
      </c>
      <c r="BM391" s="1" t="s">
        <v>74</v>
      </c>
      <c r="BN391" s="1" t="s">
        <v>74</v>
      </c>
      <c r="BO391" s="1" t="s">
        <v>74</v>
      </c>
      <c r="BP391" s="1" t="s">
        <v>74</v>
      </c>
      <c r="BQ391" s="1" t="s">
        <v>74</v>
      </c>
      <c r="BR391" s="1" t="s">
        <v>74</v>
      </c>
      <c r="BS391" s="1" t="s">
        <v>4142</v>
      </c>
      <c r="BT391" s="1" t="str">
        <f>HYPERLINK("https%3A%2F%2Fwww.webofscience.com%2Fwos%2Fwoscc%2Ffull-record%2FWOS:000560898100001","View Full Record in Web of Science")</f>
        <v>View Full Record in Web of Science</v>
      </c>
    </row>
    <row r="392" ht="12.75" customHeight="1">
      <c r="A392" s="1" t="s">
        <v>72</v>
      </c>
      <c r="B392" s="1" t="s">
        <v>4143</v>
      </c>
      <c r="C392" s="1" t="s">
        <v>74</v>
      </c>
      <c r="D392" s="1" t="s">
        <v>74</v>
      </c>
      <c r="E392" s="1" t="s">
        <v>74</v>
      </c>
      <c r="F392" s="1" t="s">
        <v>4144</v>
      </c>
      <c r="G392" s="1" t="s">
        <v>74</v>
      </c>
      <c r="H392" s="1" t="s">
        <v>74</v>
      </c>
      <c r="I392" s="1" t="s">
        <v>4145</v>
      </c>
      <c r="J392" s="1" t="s">
        <v>480</v>
      </c>
      <c r="K392" s="1" t="s">
        <v>74</v>
      </c>
      <c r="L392" s="1" t="s">
        <v>74</v>
      </c>
      <c r="M392" s="1" t="s">
        <v>74</v>
      </c>
      <c r="N392" s="1" t="s">
        <v>74</v>
      </c>
      <c r="O392" s="1" t="s">
        <v>74</v>
      </c>
      <c r="P392" s="1" t="s">
        <v>74</v>
      </c>
      <c r="Q392" s="1" t="s">
        <v>74</v>
      </c>
      <c r="R392" s="1" t="s">
        <v>74</v>
      </c>
      <c r="S392" s="1" t="s">
        <v>74</v>
      </c>
      <c r="T392" s="1" t="s">
        <v>74</v>
      </c>
      <c r="U392" s="1" t="s">
        <v>74</v>
      </c>
      <c r="V392" s="1" t="s">
        <v>4146</v>
      </c>
      <c r="W392" s="1" t="s">
        <v>74</v>
      </c>
      <c r="X392" s="1" t="s">
        <v>74</v>
      </c>
      <c r="Y392" s="1" t="s">
        <v>74</v>
      </c>
      <c r="Z392" s="1" t="s">
        <v>74</v>
      </c>
      <c r="AA392" s="1" t="s">
        <v>4147</v>
      </c>
      <c r="AB392" s="1" t="s">
        <v>4148</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484</v>
      </c>
      <c r="AP392" s="1" t="s">
        <v>74</v>
      </c>
      <c r="AQ392" s="1" t="s">
        <v>74</v>
      </c>
      <c r="AR392" s="1" t="s">
        <v>74</v>
      </c>
      <c r="AS392" s="1" t="s">
        <v>74</v>
      </c>
      <c r="AT392" s="1" t="s">
        <v>4149</v>
      </c>
      <c r="AU392" s="1">
        <v>2019.0</v>
      </c>
      <c r="AV392" s="1">
        <v>9.0</v>
      </c>
      <c r="AW392" s="1" t="s">
        <v>74</v>
      </c>
      <c r="AX392" s="1" t="s">
        <v>74</v>
      </c>
      <c r="AY392" s="1" t="s">
        <v>74</v>
      </c>
      <c r="AZ392" s="1" t="s">
        <v>74</v>
      </c>
      <c r="BA392" s="1" t="s">
        <v>74</v>
      </c>
      <c r="BB392" s="1" t="s">
        <v>74</v>
      </c>
      <c r="BC392" s="1" t="s">
        <v>74</v>
      </c>
      <c r="BD392" s="1">
        <v>8173.0</v>
      </c>
      <c r="BE392" s="1" t="s">
        <v>4150</v>
      </c>
      <c r="BF392" s="2" t="str">
        <f>HYPERLINK("http://dx.doi.org/10.1038/s41598-019-44614-4","http://dx.doi.org/10.1038/s41598-019-44614-4")</f>
        <v>http://dx.doi.org/10.1038/s41598-019-44614-4</v>
      </c>
      <c r="BG392" s="1" t="s">
        <v>74</v>
      </c>
      <c r="BH392" s="1" t="s">
        <v>74</v>
      </c>
      <c r="BI392" s="1" t="s">
        <v>74</v>
      </c>
      <c r="BJ392" s="1" t="s">
        <v>74</v>
      </c>
      <c r="BK392" s="1" t="s">
        <v>74</v>
      </c>
      <c r="BL392" s="1" t="s">
        <v>74</v>
      </c>
      <c r="BM392" s="1" t="s">
        <v>74</v>
      </c>
      <c r="BN392" s="1">
        <v>3.1160642E7</v>
      </c>
      <c r="BO392" s="1" t="s">
        <v>74</v>
      </c>
      <c r="BP392" s="1" t="s">
        <v>74</v>
      </c>
      <c r="BQ392" s="1" t="s">
        <v>74</v>
      </c>
      <c r="BR392" s="1" t="s">
        <v>74</v>
      </c>
      <c r="BS392" s="1" t="s">
        <v>4151</v>
      </c>
      <c r="BT392" s="1" t="str">
        <f>HYPERLINK("https%3A%2F%2Fwww.webofscience.com%2Fwos%2Fwoscc%2Ffull-record%2FWOS:000469912700014","View Full Record in Web of Science")</f>
        <v>View Full Record in Web of Science</v>
      </c>
    </row>
    <row r="393" ht="12.75" customHeight="1">
      <c r="A393" s="1" t="s">
        <v>72</v>
      </c>
      <c r="B393" s="1" t="s">
        <v>4152</v>
      </c>
      <c r="C393" s="1" t="s">
        <v>74</v>
      </c>
      <c r="D393" s="1" t="s">
        <v>74</v>
      </c>
      <c r="E393" s="1" t="s">
        <v>74</v>
      </c>
      <c r="F393" s="1" t="s">
        <v>4153</v>
      </c>
      <c r="G393" s="1" t="s">
        <v>74</v>
      </c>
      <c r="H393" s="1" t="s">
        <v>74</v>
      </c>
      <c r="I393" s="1" t="s">
        <v>4154</v>
      </c>
      <c r="J393" s="1" t="s">
        <v>2330</v>
      </c>
      <c r="K393" s="1" t="s">
        <v>74</v>
      </c>
      <c r="L393" s="1" t="s">
        <v>74</v>
      </c>
      <c r="M393" s="1" t="s">
        <v>74</v>
      </c>
      <c r="N393" s="1" t="s">
        <v>74</v>
      </c>
      <c r="O393" s="1" t="s">
        <v>74</v>
      </c>
      <c r="P393" s="1" t="s">
        <v>74</v>
      </c>
      <c r="Q393" s="1" t="s">
        <v>74</v>
      </c>
      <c r="R393" s="1" t="s">
        <v>74</v>
      </c>
      <c r="S393" s="1" t="s">
        <v>74</v>
      </c>
      <c r="T393" s="1" t="s">
        <v>74</v>
      </c>
      <c r="U393" s="1" t="s">
        <v>74</v>
      </c>
      <c r="V393" s="1" t="s">
        <v>4155</v>
      </c>
      <c r="W393" s="1" t="s">
        <v>74</v>
      </c>
      <c r="X393" s="1" t="s">
        <v>74</v>
      </c>
      <c r="Y393" s="1" t="s">
        <v>74</v>
      </c>
      <c r="Z393" s="1" t="s">
        <v>74</v>
      </c>
      <c r="AA393" s="1" t="s">
        <v>4156</v>
      </c>
      <c r="AB393" s="1" t="s">
        <v>4157</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2333</v>
      </c>
      <c r="AP393" s="1" t="s">
        <v>2334</v>
      </c>
      <c r="AQ393" s="1" t="s">
        <v>74</v>
      </c>
      <c r="AR393" s="1" t="s">
        <v>74</v>
      </c>
      <c r="AS393" s="1" t="s">
        <v>74</v>
      </c>
      <c r="AT393" s="1" t="s">
        <v>202</v>
      </c>
      <c r="AU393" s="1">
        <v>2018.0</v>
      </c>
      <c r="AV393" s="1">
        <v>106.0</v>
      </c>
      <c r="AW393" s="1" t="s">
        <v>74</v>
      </c>
      <c r="AX393" s="1" t="s">
        <v>74</v>
      </c>
      <c r="AY393" s="1" t="s">
        <v>74</v>
      </c>
      <c r="AZ393" s="1" t="s">
        <v>74</v>
      </c>
      <c r="BA393" s="1" t="s">
        <v>74</v>
      </c>
      <c r="BB393" s="1">
        <v>173.0</v>
      </c>
      <c r="BC393" s="1">
        <v>177.0</v>
      </c>
      <c r="BD393" s="1" t="s">
        <v>74</v>
      </c>
      <c r="BE393" s="1" t="s">
        <v>4158</v>
      </c>
      <c r="BF393" s="2" t="str">
        <f>HYPERLINK("http://dx.doi.org/10.1016/j.exger.2018.03.002","http://dx.doi.org/10.1016/j.exger.2018.03.002")</f>
        <v>http://dx.doi.org/10.1016/j.exger.2018.03.002</v>
      </c>
      <c r="BG393" s="1" t="s">
        <v>74</v>
      </c>
      <c r="BH393" s="1" t="s">
        <v>74</v>
      </c>
      <c r="BI393" s="1" t="s">
        <v>74</v>
      </c>
      <c r="BJ393" s="1" t="s">
        <v>74</v>
      </c>
      <c r="BK393" s="1" t="s">
        <v>74</v>
      </c>
      <c r="BL393" s="1" t="s">
        <v>74</v>
      </c>
      <c r="BM393" s="1" t="s">
        <v>74</v>
      </c>
      <c r="BN393" s="1">
        <v>2.9549034E7</v>
      </c>
      <c r="BO393" s="1" t="s">
        <v>74</v>
      </c>
      <c r="BP393" s="1" t="s">
        <v>74</v>
      </c>
      <c r="BQ393" s="1" t="s">
        <v>74</v>
      </c>
      <c r="BR393" s="1" t="s">
        <v>74</v>
      </c>
      <c r="BS393" s="1" t="s">
        <v>4159</v>
      </c>
      <c r="BT393" s="1" t="str">
        <f>HYPERLINK("https%3A%2F%2Fwww.webofscience.com%2Fwos%2Fwoscc%2Ffull-record%2FWOS:000430469000024","View Full Record in Web of Science")</f>
        <v>View Full Record in Web of Science</v>
      </c>
    </row>
    <row r="394" ht="12.75" customHeight="1">
      <c r="A394" s="1" t="s">
        <v>72</v>
      </c>
      <c r="B394" s="1" t="s">
        <v>4160</v>
      </c>
      <c r="C394" s="1" t="s">
        <v>74</v>
      </c>
      <c r="D394" s="1" t="s">
        <v>74</v>
      </c>
      <c r="E394" s="1" t="s">
        <v>74</v>
      </c>
      <c r="F394" s="1" t="s">
        <v>4161</v>
      </c>
      <c r="G394" s="1" t="s">
        <v>74</v>
      </c>
      <c r="H394" s="1" t="s">
        <v>74</v>
      </c>
      <c r="I394" s="1" t="s">
        <v>4162</v>
      </c>
      <c r="J394" s="1" t="s">
        <v>1882</v>
      </c>
      <c r="K394" s="1" t="s">
        <v>74</v>
      </c>
      <c r="L394" s="1" t="s">
        <v>74</v>
      </c>
      <c r="M394" s="1" t="s">
        <v>74</v>
      </c>
      <c r="N394" s="1" t="s">
        <v>74</v>
      </c>
      <c r="O394" s="1" t="s">
        <v>74</v>
      </c>
      <c r="P394" s="1" t="s">
        <v>74</v>
      </c>
      <c r="Q394" s="1" t="s">
        <v>74</v>
      </c>
      <c r="R394" s="1" t="s">
        <v>74</v>
      </c>
      <c r="S394" s="1" t="s">
        <v>74</v>
      </c>
      <c r="T394" s="1" t="s">
        <v>74</v>
      </c>
      <c r="U394" s="1" t="s">
        <v>74</v>
      </c>
      <c r="V394" s="1" t="s">
        <v>4163</v>
      </c>
      <c r="W394" s="1" t="s">
        <v>74</v>
      </c>
      <c r="X394" s="1" t="s">
        <v>74</v>
      </c>
      <c r="Y394" s="1" t="s">
        <v>74</v>
      </c>
      <c r="Z394" s="1" t="s">
        <v>74</v>
      </c>
      <c r="AA394" s="1" t="s">
        <v>4164</v>
      </c>
      <c r="AB394" s="1" t="s">
        <v>4165</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1886</v>
      </c>
      <c r="AP394" s="1" t="s">
        <v>1887</v>
      </c>
      <c r="AQ394" s="1" t="s">
        <v>74</v>
      </c>
      <c r="AR394" s="1" t="s">
        <v>74</v>
      </c>
      <c r="AS394" s="1" t="s">
        <v>74</v>
      </c>
      <c r="AT394" s="1" t="s">
        <v>94</v>
      </c>
      <c r="AU394" s="1">
        <v>2016.0</v>
      </c>
      <c r="AV394" s="1">
        <v>15.0</v>
      </c>
      <c r="AW394" s="1">
        <v>12.0</v>
      </c>
      <c r="AX394" s="1" t="s">
        <v>74</v>
      </c>
      <c r="AY394" s="1" t="s">
        <v>74</v>
      </c>
      <c r="AZ394" s="1" t="s">
        <v>74</v>
      </c>
      <c r="BA394" s="1" t="s">
        <v>74</v>
      </c>
      <c r="BB394" s="1">
        <v>1261.0</v>
      </c>
      <c r="BC394" s="1">
        <v>1266.0</v>
      </c>
      <c r="BD394" s="1" t="s">
        <v>74</v>
      </c>
      <c r="BE394" s="1" t="s">
        <v>4166</v>
      </c>
      <c r="BF394" s="2" t="str">
        <f>HYPERLINK("http://dx.doi.org/10.1038/NMAT4726","http://dx.doi.org/10.1038/NMAT4726")</f>
        <v>http://dx.doi.org/10.1038/NMAT4726</v>
      </c>
      <c r="BG394" s="1" t="s">
        <v>74</v>
      </c>
      <c r="BH394" s="1" t="s">
        <v>74</v>
      </c>
      <c r="BI394" s="1" t="s">
        <v>74</v>
      </c>
      <c r="BJ394" s="1" t="s">
        <v>74</v>
      </c>
      <c r="BK394" s="1" t="s">
        <v>74</v>
      </c>
      <c r="BL394" s="1" t="s">
        <v>74</v>
      </c>
      <c r="BM394" s="1" t="s">
        <v>74</v>
      </c>
      <c r="BN394" s="1">
        <v>2.7571452E7</v>
      </c>
      <c r="BO394" s="1" t="s">
        <v>74</v>
      </c>
      <c r="BP394" s="1" t="s">
        <v>74</v>
      </c>
      <c r="BQ394" s="1" t="s">
        <v>74</v>
      </c>
      <c r="BR394" s="1" t="s">
        <v>74</v>
      </c>
      <c r="BS394" s="1" t="s">
        <v>4167</v>
      </c>
      <c r="BT394" s="1" t="str">
        <f>HYPERLINK("https%3A%2F%2Fwww.webofscience.com%2Fwos%2Fwoscc%2Ffull-record%2FWOS:000389104400013","View Full Record in Web of Science")</f>
        <v>View Full Record in Web of Science</v>
      </c>
    </row>
    <row r="395" ht="12.75" customHeight="1">
      <c r="A395" s="1" t="s">
        <v>72</v>
      </c>
      <c r="B395" s="1" t="s">
        <v>4168</v>
      </c>
      <c r="C395" s="1" t="s">
        <v>74</v>
      </c>
      <c r="D395" s="1" t="s">
        <v>74</v>
      </c>
      <c r="E395" s="1" t="s">
        <v>74</v>
      </c>
      <c r="F395" s="1" t="s">
        <v>4169</v>
      </c>
      <c r="G395" s="1" t="s">
        <v>74</v>
      </c>
      <c r="H395" s="1" t="s">
        <v>74</v>
      </c>
      <c r="I395" s="1" t="s">
        <v>4170</v>
      </c>
      <c r="J395" s="1" t="s">
        <v>4171</v>
      </c>
      <c r="K395" s="1" t="s">
        <v>74</v>
      </c>
      <c r="L395" s="1" t="s">
        <v>74</v>
      </c>
      <c r="M395" s="1" t="s">
        <v>74</v>
      </c>
      <c r="N395" s="1" t="s">
        <v>74</v>
      </c>
      <c r="O395" s="1" t="s">
        <v>74</v>
      </c>
      <c r="P395" s="1" t="s">
        <v>74</v>
      </c>
      <c r="Q395" s="1" t="s">
        <v>74</v>
      </c>
      <c r="R395" s="1" t="s">
        <v>74</v>
      </c>
      <c r="S395" s="1" t="s">
        <v>74</v>
      </c>
      <c r="T395" s="1" t="s">
        <v>74</v>
      </c>
      <c r="U395" s="1" t="s">
        <v>74</v>
      </c>
      <c r="V395" s="1" t="s">
        <v>4172</v>
      </c>
      <c r="W395" s="1" t="s">
        <v>74</v>
      </c>
      <c r="X395" s="1" t="s">
        <v>74</v>
      </c>
      <c r="Y395" s="1" t="s">
        <v>74</v>
      </c>
      <c r="Z395" s="1" t="s">
        <v>74</v>
      </c>
      <c r="AA395" s="1" t="s">
        <v>4173</v>
      </c>
      <c r="AB395" s="1" t="s">
        <v>4174</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4175</v>
      </c>
      <c r="AP395" s="1" t="s">
        <v>4176</v>
      </c>
      <c r="AQ395" s="1" t="s">
        <v>74</v>
      </c>
      <c r="AR395" s="1" t="s">
        <v>74</v>
      </c>
      <c r="AS395" s="1" t="s">
        <v>74</v>
      </c>
      <c r="AT395" s="1" t="s">
        <v>1230</v>
      </c>
      <c r="AU395" s="1">
        <v>2021.0</v>
      </c>
      <c r="AV395" s="1">
        <v>12.0</v>
      </c>
      <c r="AW395" s="1">
        <v>2.0</v>
      </c>
      <c r="AX395" s="1" t="s">
        <v>74</v>
      </c>
      <c r="AY395" s="1" t="s">
        <v>74</v>
      </c>
      <c r="AZ395" s="1" t="s">
        <v>74</v>
      </c>
      <c r="BA395" s="1" t="s">
        <v>74</v>
      </c>
      <c r="BB395" s="1">
        <v>202.0</v>
      </c>
      <c r="BC395" s="1">
        <v>227.0</v>
      </c>
      <c r="BD395" s="1" t="s">
        <v>74</v>
      </c>
      <c r="BE395" s="1" t="s">
        <v>4177</v>
      </c>
      <c r="BF395" s="2" t="str">
        <f>HYPERLINK("http://dx.doi.org/10.1080/21711976.2021.1888608","http://dx.doi.org/10.1080/21711976.2021.1888608")</f>
        <v>http://dx.doi.org/10.1080/21711976.2021.1888608</v>
      </c>
      <c r="BG395" s="1" t="s">
        <v>74</v>
      </c>
      <c r="BH395" s="1" t="s">
        <v>74</v>
      </c>
      <c r="BI395" s="1" t="s">
        <v>74</v>
      </c>
      <c r="BJ395" s="1" t="s">
        <v>74</v>
      </c>
      <c r="BK395" s="1" t="s">
        <v>74</v>
      </c>
      <c r="BL395" s="1" t="s">
        <v>74</v>
      </c>
      <c r="BM395" s="1" t="s">
        <v>74</v>
      </c>
      <c r="BN395" s="1" t="s">
        <v>74</v>
      </c>
      <c r="BO395" s="1" t="s">
        <v>74</v>
      </c>
      <c r="BP395" s="1" t="s">
        <v>74</v>
      </c>
      <c r="BQ395" s="1" t="s">
        <v>74</v>
      </c>
      <c r="BR395" s="1" t="s">
        <v>74</v>
      </c>
      <c r="BS395" s="1" t="s">
        <v>4178</v>
      </c>
      <c r="BT395" s="1" t="str">
        <f>HYPERLINK("https%3A%2F%2Fwww.webofscience.com%2Fwos%2Fwoscc%2Ffull-record%2FWOS:000710538400003","View Full Record in Web of Science")</f>
        <v>View Full Record in Web of Science</v>
      </c>
    </row>
    <row r="396" ht="12.75" customHeight="1">
      <c r="A396" s="1" t="s">
        <v>72</v>
      </c>
      <c r="B396" s="1" t="s">
        <v>4179</v>
      </c>
      <c r="C396" s="1" t="s">
        <v>74</v>
      </c>
      <c r="D396" s="1" t="s">
        <v>74</v>
      </c>
      <c r="E396" s="1" t="s">
        <v>74</v>
      </c>
      <c r="F396" s="1" t="s">
        <v>4180</v>
      </c>
      <c r="G396" s="1" t="s">
        <v>74</v>
      </c>
      <c r="H396" s="1" t="s">
        <v>74</v>
      </c>
      <c r="I396" s="1" t="s">
        <v>4181</v>
      </c>
      <c r="J396" s="1" t="s">
        <v>4182</v>
      </c>
      <c r="K396" s="1" t="s">
        <v>74</v>
      </c>
      <c r="L396" s="1" t="s">
        <v>74</v>
      </c>
      <c r="M396" s="1" t="s">
        <v>74</v>
      </c>
      <c r="N396" s="1" t="s">
        <v>74</v>
      </c>
      <c r="O396" s="1" t="s">
        <v>74</v>
      </c>
      <c r="P396" s="1" t="s">
        <v>74</v>
      </c>
      <c r="Q396" s="1" t="s">
        <v>74</v>
      </c>
      <c r="R396" s="1" t="s">
        <v>74</v>
      </c>
      <c r="S396" s="1" t="s">
        <v>74</v>
      </c>
      <c r="T396" s="1" t="s">
        <v>74</v>
      </c>
      <c r="U396" s="1" t="s">
        <v>74</v>
      </c>
      <c r="V396" s="1" t="s">
        <v>4183</v>
      </c>
      <c r="W396" s="1" t="s">
        <v>74</v>
      </c>
      <c r="X396" s="1" t="s">
        <v>74</v>
      </c>
      <c r="Y396" s="1" t="s">
        <v>74</v>
      </c>
      <c r="Z396" s="1" t="s">
        <v>74</v>
      </c>
      <c r="AA396" s="1" t="s">
        <v>4184</v>
      </c>
      <c r="AB396" s="1" t="s">
        <v>4185</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4186</v>
      </c>
      <c r="AP396" s="1" t="s">
        <v>4187</v>
      </c>
      <c r="AQ396" s="1" t="s">
        <v>74</v>
      </c>
      <c r="AR396" s="1" t="s">
        <v>74</v>
      </c>
      <c r="AS396" s="1" t="s">
        <v>74</v>
      </c>
      <c r="AT396" s="1" t="s">
        <v>74</v>
      </c>
      <c r="AU396" s="1">
        <v>2022.0</v>
      </c>
      <c r="AV396" s="1">
        <v>35.0</v>
      </c>
      <c r="AW396" s="1">
        <v>25.0</v>
      </c>
      <c r="AX396" s="1" t="s">
        <v>74</v>
      </c>
      <c r="AY396" s="1" t="s">
        <v>74</v>
      </c>
      <c r="AZ396" s="1" t="s">
        <v>74</v>
      </c>
      <c r="BA396" s="1" t="s">
        <v>74</v>
      </c>
      <c r="BB396" s="1">
        <v>5917.0</v>
      </c>
      <c r="BC396" s="1">
        <v>5922.0</v>
      </c>
      <c r="BD396" s="1" t="s">
        <v>74</v>
      </c>
      <c r="BE396" s="1" t="s">
        <v>4188</v>
      </c>
      <c r="BF396" s="2" t="str">
        <f>HYPERLINK("http://dx.doi.org/10.1080/14767058.2021.1902498","http://dx.doi.org/10.1080/14767058.2021.1902498")</f>
        <v>http://dx.doi.org/10.1080/14767058.2021.1902498</v>
      </c>
      <c r="BG396" s="1" t="s">
        <v>74</v>
      </c>
      <c r="BH396" s="1" t="s">
        <v>254</v>
      </c>
      <c r="BI396" s="1" t="s">
        <v>74</v>
      </c>
      <c r="BJ396" s="1" t="s">
        <v>74</v>
      </c>
      <c r="BK396" s="1" t="s">
        <v>74</v>
      </c>
      <c r="BL396" s="1" t="s">
        <v>74</v>
      </c>
      <c r="BM396" s="1" t="s">
        <v>74</v>
      </c>
      <c r="BN396" s="1">
        <v>3.3792466E7</v>
      </c>
      <c r="BO396" s="1" t="s">
        <v>74</v>
      </c>
      <c r="BP396" s="1" t="s">
        <v>74</v>
      </c>
      <c r="BQ396" s="1" t="s">
        <v>74</v>
      </c>
      <c r="BR396" s="1" t="s">
        <v>74</v>
      </c>
      <c r="BS396" s="1" t="s">
        <v>4189</v>
      </c>
      <c r="BT396" s="1" t="str">
        <f>HYPERLINK("https%3A%2F%2Fwww.webofscience.com%2Fwos%2Fwoscc%2Ffull-record%2FWOS:000635811300001","View Full Record in Web of Science")</f>
        <v>View Full Record in Web of Science</v>
      </c>
    </row>
    <row r="397" ht="12.75" customHeight="1">
      <c r="A397" s="1" t="s">
        <v>72</v>
      </c>
      <c r="B397" s="1" t="s">
        <v>4190</v>
      </c>
      <c r="C397" s="1" t="s">
        <v>74</v>
      </c>
      <c r="D397" s="1" t="s">
        <v>74</v>
      </c>
      <c r="E397" s="1" t="s">
        <v>74</v>
      </c>
      <c r="F397" s="1" t="s">
        <v>4191</v>
      </c>
      <c r="G397" s="1" t="s">
        <v>74</v>
      </c>
      <c r="H397" s="1" t="s">
        <v>74</v>
      </c>
      <c r="I397" s="1" t="s">
        <v>4192</v>
      </c>
      <c r="J397" s="1" t="s">
        <v>4193</v>
      </c>
      <c r="K397" s="1" t="s">
        <v>74</v>
      </c>
      <c r="L397" s="1" t="s">
        <v>74</v>
      </c>
      <c r="M397" s="1" t="s">
        <v>74</v>
      </c>
      <c r="N397" s="1" t="s">
        <v>74</v>
      </c>
      <c r="O397" s="1" t="s">
        <v>74</v>
      </c>
      <c r="P397" s="1" t="s">
        <v>74</v>
      </c>
      <c r="Q397" s="1" t="s">
        <v>74</v>
      </c>
      <c r="R397" s="1" t="s">
        <v>74</v>
      </c>
      <c r="S397" s="1" t="s">
        <v>74</v>
      </c>
      <c r="T397" s="1" t="s">
        <v>74</v>
      </c>
      <c r="U397" s="1" t="s">
        <v>74</v>
      </c>
      <c r="V397" s="1" t="s">
        <v>4194</v>
      </c>
      <c r="W397" s="1" t="s">
        <v>74</v>
      </c>
      <c r="X397" s="1" t="s">
        <v>74</v>
      </c>
      <c r="Y397" s="1" t="s">
        <v>74</v>
      </c>
      <c r="Z397" s="1" t="s">
        <v>74</v>
      </c>
      <c r="AA397" s="1" t="s">
        <v>4195</v>
      </c>
      <c r="AB397" s="1" t="s">
        <v>4196</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74</v>
      </c>
      <c r="AP397" s="1" t="s">
        <v>4197</v>
      </c>
      <c r="AQ397" s="1" t="s">
        <v>74</v>
      </c>
      <c r="AR397" s="1" t="s">
        <v>74</v>
      </c>
      <c r="AS397" s="1" t="s">
        <v>74</v>
      </c>
      <c r="AT397" s="1" t="s">
        <v>239</v>
      </c>
      <c r="AU397" s="1">
        <v>2024.0</v>
      </c>
      <c r="AV397" s="1">
        <v>14.0</v>
      </c>
      <c r="AW397" s="1">
        <v>5.0</v>
      </c>
      <c r="AX397" s="1" t="s">
        <v>74</v>
      </c>
      <c r="AY397" s="1" t="s">
        <v>74</v>
      </c>
      <c r="AZ397" s="1" t="s">
        <v>74</v>
      </c>
      <c r="BA397" s="1" t="s">
        <v>74</v>
      </c>
      <c r="BB397" s="1" t="s">
        <v>74</v>
      </c>
      <c r="BC397" s="1" t="s">
        <v>74</v>
      </c>
      <c r="BD397" s="1">
        <v>438.0</v>
      </c>
      <c r="BE397" s="1" t="s">
        <v>4198</v>
      </c>
      <c r="BF397" s="2" t="str">
        <f>HYPERLINK("http://dx.doi.org/10.3390/min14050438","http://dx.doi.org/10.3390/min14050438")</f>
        <v>http://dx.doi.org/10.3390/min14050438</v>
      </c>
      <c r="BG397" s="1" t="s">
        <v>74</v>
      </c>
      <c r="BH397" s="1" t="s">
        <v>74</v>
      </c>
      <c r="BI397" s="1" t="s">
        <v>74</v>
      </c>
      <c r="BJ397" s="1" t="s">
        <v>74</v>
      </c>
      <c r="BK397" s="1" t="s">
        <v>74</v>
      </c>
      <c r="BL397" s="1" t="s">
        <v>74</v>
      </c>
      <c r="BM397" s="1" t="s">
        <v>74</v>
      </c>
      <c r="BN397" s="1" t="s">
        <v>74</v>
      </c>
      <c r="BO397" s="1" t="s">
        <v>74</v>
      </c>
      <c r="BP397" s="1" t="s">
        <v>74</v>
      </c>
      <c r="BQ397" s="1" t="s">
        <v>74</v>
      </c>
      <c r="BR397" s="1" t="s">
        <v>74</v>
      </c>
      <c r="BS397" s="1" t="s">
        <v>4199</v>
      </c>
      <c r="BT397" s="1" t="str">
        <f>HYPERLINK("https%3A%2F%2Fwww.webofscience.com%2Fwos%2Fwoscc%2Ffull-record%2FWOS:001231229300001","View Full Record in Web of Science")</f>
        <v>View Full Record in Web of Science</v>
      </c>
    </row>
    <row r="398" ht="12.75" customHeight="1">
      <c r="A398" s="1" t="s">
        <v>72</v>
      </c>
      <c r="B398" s="1" t="s">
        <v>4200</v>
      </c>
      <c r="C398" s="1" t="s">
        <v>74</v>
      </c>
      <c r="D398" s="1" t="s">
        <v>74</v>
      </c>
      <c r="E398" s="1" t="s">
        <v>74</v>
      </c>
      <c r="F398" s="1" t="s">
        <v>4201</v>
      </c>
      <c r="G398" s="1" t="s">
        <v>74</v>
      </c>
      <c r="H398" s="1" t="s">
        <v>74</v>
      </c>
      <c r="I398" s="1" t="s">
        <v>4202</v>
      </c>
      <c r="J398" s="1" t="s">
        <v>4203</v>
      </c>
      <c r="K398" s="1" t="s">
        <v>74</v>
      </c>
      <c r="L398" s="1" t="s">
        <v>74</v>
      </c>
      <c r="M398" s="1" t="s">
        <v>74</v>
      </c>
      <c r="N398" s="1" t="s">
        <v>74</v>
      </c>
      <c r="O398" s="1" t="s">
        <v>74</v>
      </c>
      <c r="P398" s="1" t="s">
        <v>74</v>
      </c>
      <c r="Q398" s="1" t="s">
        <v>74</v>
      </c>
      <c r="R398" s="1" t="s">
        <v>74</v>
      </c>
      <c r="S398" s="1" t="s">
        <v>74</v>
      </c>
      <c r="T398" s="1" t="s">
        <v>74</v>
      </c>
      <c r="U398" s="1" t="s">
        <v>74</v>
      </c>
      <c r="V398" s="1" t="s">
        <v>4204</v>
      </c>
      <c r="W398" s="1" t="s">
        <v>74</v>
      </c>
      <c r="X398" s="1" t="s">
        <v>74</v>
      </c>
      <c r="Y398" s="1" t="s">
        <v>74</v>
      </c>
      <c r="Z398" s="1" t="s">
        <v>74</v>
      </c>
      <c r="AA398" s="1" t="s">
        <v>4205</v>
      </c>
      <c r="AB398" s="1" t="s">
        <v>74</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4206</v>
      </c>
      <c r="AP398" s="1" t="s">
        <v>4207</v>
      </c>
      <c r="AQ398" s="1" t="s">
        <v>74</v>
      </c>
      <c r="AR398" s="1" t="s">
        <v>74</v>
      </c>
      <c r="AS398" s="1" t="s">
        <v>74</v>
      </c>
      <c r="AT398" s="1" t="s">
        <v>531</v>
      </c>
      <c r="AU398" s="1">
        <v>2023.0</v>
      </c>
      <c r="AV398" s="1">
        <v>94.0</v>
      </c>
      <c r="AW398" s="1">
        <v>5.0</v>
      </c>
      <c r="AX398" s="1" t="s">
        <v>74</v>
      </c>
      <c r="AY398" s="1" t="s">
        <v>74</v>
      </c>
      <c r="AZ398" s="1" t="s">
        <v>74</v>
      </c>
      <c r="BA398" s="1" t="s">
        <v>74</v>
      </c>
      <c r="BB398" s="1">
        <v>577.0</v>
      </c>
      <c r="BC398" s="1">
        <v>587.0</v>
      </c>
      <c r="BD398" s="1" t="s">
        <v>74</v>
      </c>
      <c r="BE398" s="1" t="s">
        <v>4208</v>
      </c>
      <c r="BF398" s="2" t="str">
        <f>HYPERLINK("http://dx.doi.org/10.32641/andespediatr.v94i5.4886","http://dx.doi.org/10.32641/andespediatr.v94i5.4886")</f>
        <v>http://dx.doi.org/10.32641/andespediatr.v94i5.4886</v>
      </c>
      <c r="BG398" s="1" t="s">
        <v>74</v>
      </c>
      <c r="BH398" s="1" t="s">
        <v>74</v>
      </c>
      <c r="BI398" s="1" t="s">
        <v>74</v>
      </c>
      <c r="BJ398" s="1" t="s">
        <v>74</v>
      </c>
      <c r="BK398" s="1" t="s">
        <v>74</v>
      </c>
      <c r="BL398" s="1" t="s">
        <v>74</v>
      </c>
      <c r="BM398" s="1" t="s">
        <v>74</v>
      </c>
      <c r="BN398" s="1">
        <v>3.7975691E7</v>
      </c>
      <c r="BO398" s="1" t="s">
        <v>74</v>
      </c>
      <c r="BP398" s="1" t="s">
        <v>74</v>
      </c>
      <c r="BQ398" s="1" t="s">
        <v>74</v>
      </c>
      <c r="BR398" s="1" t="s">
        <v>74</v>
      </c>
      <c r="BS398" s="1" t="s">
        <v>4209</v>
      </c>
      <c r="BT398" s="1" t="str">
        <f>HYPERLINK("https%3A%2F%2Fwww.webofscience.com%2Fwos%2Fwoscc%2Ffull-record%2FWOS:001098982800002","View Full Record in Web of Science")</f>
        <v>View Full Record in Web of Science</v>
      </c>
    </row>
    <row r="399" ht="12.75" customHeight="1">
      <c r="A399" s="1" t="s">
        <v>72</v>
      </c>
      <c r="B399" s="1" t="s">
        <v>4210</v>
      </c>
      <c r="C399" s="1" t="s">
        <v>74</v>
      </c>
      <c r="D399" s="1" t="s">
        <v>74</v>
      </c>
      <c r="E399" s="1" t="s">
        <v>74</v>
      </c>
      <c r="F399" s="1" t="s">
        <v>4211</v>
      </c>
      <c r="G399" s="1" t="s">
        <v>74</v>
      </c>
      <c r="H399" s="1" t="s">
        <v>74</v>
      </c>
      <c r="I399" s="1" t="s">
        <v>4212</v>
      </c>
      <c r="J399" s="1" t="s">
        <v>3493</v>
      </c>
      <c r="K399" s="1" t="s">
        <v>74</v>
      </c>
      <c r="L399" s="1" t="s">
        <v>74</v>
      </c>
      <c r="M399" s="1" t="s">
        <v>74</v>
      </c>
      <c r="N399" s="1" t="s">
        <v>74</v>
      </c>
      <c r="O399" s="1" t="s">
        <v>74</v>
      </c>
      <c r="P399" s="1" t="s">
        <v>74</v>
      </c>
      <c r="Q399" s="1" t="s">
        <v>74</v>
      </c>
      <c r="R399" s="1" t="s">
        <v>74</v>
      </c>
      <c r="S399" s="1" t="s">
        <v>74</v>
      </c>
      <c r="T399" s="1" t="s">
        <v>74</v>
      </c>
      <c r="U399" s="1" t="s">
        <v>74</v>
      </c>
      <c r="V399" s="1" t="s">
        <v>4213</v>
      </c>
      <c r="W399" s="1" t="s">
        <v>74</v>
      </c>
      <c r="X399" s="1" t="s">
        <v>74</v>
      </c>
      <c r="Y399" s="1" t="s">
        <v>74</v>
      </c>
      <c r="Z399" s="1" t="s">
        <v>74</v>
      </c>
      <c r="AA399" s="1" t="s">
        <v>4214</v>
      </c>
      <c r="AB399" s="1" t="s">
        <v>4215</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3497</v>
      </c>
      <c r="AP399" s="1" t="s">
        <v>3498</v>
      </c>
      <c r="AQ399" s="1" t="s">
        <v>74</v>
      </c>
      <c r="AR399" s="1" t="s">
        <v>74</v>
      </c>
      <c r="AS399" s="1" t="s">
        <v>74</v>
      </c>
      <c r="AT399" s="1" t="s">
        <v>1555</v>
      </c>
      <c r="AU399" s="1">
        <v>2022.0</v>
      </c>
      <c r="AV399" s="1">
        <v>42.0</v>
      </c>
      <c r="AW399" s="1">
        <v>38.0</v>
      </c>
      <c r="AX399" s="1" t="s">
        <v>74</v>
      </c>
      <c r="AY399" s="1" t="s">
        <v>74</v>
      </c>
      <c r="AZ399" s="1" t="s">
        <v>74</v>
      </c>
      <c r="BA399" s="1" t="s">
        <v>74</v>
      </c>
      <c r="BB399" s="1">
        <v>7294.0</v>
      </c>
      <c r="BC399" s="1">
        <v>7308.0</v>
      </c>
      <c r="BD399" s="1" t="s">
        <v>74</v>
      </c>
      <c r="BE399" s="1" t="s">
        <v>4216</v>
      </c>
      <c r="BF399" s="2" t="str">
        <f>HYPERLINK("http://dx.doi.org/10.1523/JNEUROSCI.1776-21.2022","http://dx.doi.org/10.1523/JNEUROSCI.1776-21.2022")</f>
        <v>http://dx.doi.org/10.1523/JNEUROSCI.1776-21.2022</v>
      </c>
      <c r="BG399" s="1" t="s">
        <v>74</v>
      </c>
      <c r="BH399" s="1" t="s">
        <v>74</v>
      </c>
      <c r="BI399" s="1" t="s">
        <v>74</v>
      </c>
      <c r="BJ399" s="1" t="s">
        <v>74</v>
      </c>
      <c r="BK399" s="1" t="s">
        <v>74</v>
      </c>
      <c r="BL399" s="1" t="s">
        <v>74</v>
      </c>
      <c r="BM399" s="1" t="s">
        <v>74</v>
      </c>
      <c r="BN399" s="1">
        <v>3.5970562E7</v>
      </c>
      <c r="BO399" s="1" t="s">
        <v>74</v>
      </c>
      <c r="BP399" s="1" t="s">
        <v>74</v>
      </c>
      <c r="BQ399" s="1" t="s">
        <v>74</v>
      </c>
      <c r="BR399" s="1" t="s">
        <v>74</v>
      </c>
      <c r="BS399" s="1" t="s">
        <v>4217</v>
      </c>
      <c r="BT399" s="1" t="str">
        <f>HYPERLINK("https%3A%2F%2Fwww.webofscience.com%2Fwos%2Fwoscc%2Ffull-record%2FWOS:000864792800011","View Full Record in Web of Science")</f>
        <v>View Full Record in Web of Science</v>
      </c>
    </row>
    <row r="400" ht="12.75" customHeight="1">
      <c r="A400" s="1" t="s">
        <v>72</v>
      </c>
      <c r="B400" s="1" t="s">
        <v>4218</v>
      </c>
      <c r="C400" s="1" t="s">
        <v>74</v>
      </c>
      <c r="D400" s="1" t="s">
        <v>74</v>
      </c>
      <c r="E400" s="1" t="s">
        <v>74</v>
      </c>
      <c r="F400" s="1" t="s">
        <v>4219</v>
      </c>
      <c r="G400" s="1" t="s">
        <v>74</v>
      </c>
      <c r="H400" s="1" t="s">
        <v>74</v>
      </c>
      <c r="I400" s="1" t="s">
        <v>4220</v>
      </c>
      <c r="J400" s="1" t="s">
        <v>4221</v>
      </c>
      <c r="K400" s="1" t="s">
        <v>74</v>
      </c>
      <c r="L400" s="1" t="s">
        <v>74</v>
      </c>
      <c r="M400" s="1" t="s">
        <v>74</v>
      </c>
      <c r="N400" s="1" t="s">
        <v>74</v>
      </c>
      <c r="O400" s="1" t="s">
        <v>74</v>
      </c>
      <c r="P400" s="1" t="s">
        <v>74</v>
      </c>
      <c r="Q400" s="1" t="s">
        <v>74</v>
      </c>
      <c r="R400" s="1" t="s">
        <v>74</v>
      </c>
      <c r="S400" s="1" t="s">
        <v>74</v>
      </c>
      <c r="T400" s="1" t="s">
        <v>74</v>
      </c>
      <c r="U400" s="1" t="s">
        <v>74</v>
      </c>
      <c r="V400" s="1" t="s">
        <v>4222</v>
      </c>
      <c r="W400" s="1" t="s">
        <v>74</v>
      </c>
      <c r="X400" s="1" t="s">
        <v>74</v>
      </c>
      <c r="Y400" s="1" t="s">
        <v>74</v>
      </c>
      <c r="Z400" s="1" t="s">
        <v>74</v>
      </c>
      <c r="AA400" s="1" t="s">
        <v>4223</v>
      </c>
      <c r="AB400" s="1" t="s">
        <v>4224</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4225</v>
      </c>
      <c r="AP400" s="1" t="s">
        <v>4226</v>
      </c>
      <c r="AQ400" s="1" t="s">
        <v>74</v>
      </c>
      <c r="AR400" s="1" t="s">
        <v>74</v>
      </c>
      <c r="AS400" s="1" t="s">
        <v>74</v>
      </c>
      <c r="AT400" s="1" t="s">
        <v>334</v>
      </c>
      <c r="AU400" s="1">
        <v>2021.0</v>
      </c>
      <c r="AV400" s="1">
        <v>115.0</v>
      </c>
      <c r="AW400" s="1" t="s">
        <v>74</v>
      </c>
      <c r="AX400" s="1" t="s">
        <v>74</v>
      </c>
      <c r="AY400" s="1" t="s">
        <v>74</v>
      </c>
      <c r="AZ400" s="1" t="s">
        <v>74</v>
      </c>
      <c r="BA400" s="1" t="s">
        <v>74</v>
      </c>
      <c r="BB400" s="1" t="s">
        <v>74</v>
      </c>
      <c r="BC400" s="1" t="s">
        <v>74</v>
      </c>
      <c r="BD400" s="1">
        <v>105289.0</v>
      </c>
      <c r="BE400" s="1" t="s">
        <v>4227</v>
      </c>
      <c r="BF400" s="2" t="str">
        <f>HYPERLINK("http://dx.doi.org/10.1016/j.bioorg.2021.105289","http://dx.doi.org/10.1016/j.bioorg.2021.105289")</f>
        <v>http://dx.doi.org/10.1016/j.bioorg.2021.105289</v>
      </c>
      <c r="BG400" s="1" t="s">
        <v>74</v>
      </c>
      <c r="BH400" s="1" t="s">
        <v>178</v>
      </c>
      <c r="BI400" s="1" t="s">
        <v>74</v>
      </c>
      <c r="BJ400" s="1" t="s">
        <v>74</v>
      </c>
      <c r="BK400" s="1" t="s">
        <v>74</v>
      </c>
      <c r="BL400" s="1" t="s">
        <v>74</v>
      </c>
      <c r="BM400" s="1" t="s">
        <v>74</v>
      </c>
      <c r="BN400" s="1">
        <v>3.4426154E7</v>
      </c>
      <c r="BO400" s="1" t="s">
        <v>74</v>
      </c>
      <c r="BP400" s="1" t="s">
        <v>74</v>
      </c>
      <c r="BQ400" s="1" t="s">
        <v>74</v>
      </c>
      <c r="BR400" s="1" t="s">
        <v>74</v>
      </c>
      <c r="BS400" s="1" t="s">
        <v>4228</v>
      </c>
      <c r="BT400" s="1" t="str">
        <f>HYPERLINK("https%3A%2F%2Fwww.webofscience.com%2Fwos%2Fwoscc%2Ffull-record%2FWOS:000705815800003","View Full Record in Web of Science")</f>
        <v>View Full Record in Web of Science</v>
      </c>
    </row>
    <row r="401" ht="12.75" customHeight="1">
      <c r="A401" s="1" t="s">
        <v>72</v>
      </c>
      <c r="B401" s="1" t="s">
        <v>4229</v>
      </c>
      <c r="C401" s="1" t="s">
        <v>74</v>
      </c>
      <c r="D401" s="1" t="s">
        <v>74</v>
      </c>
      <c r="E401" s="1" t="s">
        <v>74</v>
      </c>
      <c r="F401" s="1" t="s">
        <v>4230</v>
      </c>
      <c r="G401" s="1" t="s">
        <v>74</v>
      </c>
      <c r="H401" s="1" t="s">
        <v>74</v>
      </c>
      <c r="I401" s="1" t="s">
        <v>4231</v>
      </c>
      <c r="J401" s="1" t="s">
        <v>2330</v>
      </c>
      <c r="K401" s="1" t="s">
        <v>74</v>
      </c>
      <c r="L401" s="1" t="s">
        <v>74</v>
      </c>
      <c r="M401" s="1" t="s">
        <v>74</v>
      </c>
      <c r="N401" s="1" t="s">
        <v>74</v>
      </c>
      <c r="O401" s="1" t="s">
        <v>74</v>
      </c>
      <c r="P401" s="1" t="s">
        <v>74</v>
      </c>
      <c r="Q401" s="1" t="s">
        <v>74</v>
      </c>
      <c r="R401" s="1" t="s">
        <v>74</v>
      </c>
      <c r="S401" s="1" t="s">
        <v>74</v>
      </c>
      <c r="T401" s="1" t="s">
        <v>74</v>
      </c>
      <c r="U401" s="1" t="s">
        <v>74</v>
      </c>
      <c r="V401" s="1" t="s">
        <v>4232</v>
      </c>
      <c r="W401" s="1" t="s">
        <v>74</v>
      </c>
      <c r="X401" s="1" t="s">
        <v>74</v>
      </c>
      <c r="Y401" s="1" t="s">
        <v>74</v>
      </c>
      <c r="Z401" s="1" t="s">
        <v>74</v>
      </c>
      <c r="AA401" s="1" t="s">
        <v>4233</v>
      </c>
      <c r="AB401" s="1" t="s">
        <v>4234</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2333</v>
      </c>
      <c r="AP401" s="1" t="s">
        <v>2334</v>
      </c>
      <c r="AQ401" s="1" t="s">
        <v>74</v>
      </c>
      <c r="AR401" s="1" t="s">
        <v>74</v>
      </c>
      <c r="AS401" s="1" t="s">
        <v>74</v>
      </c>
      <c r="AT401" s="1" t="s">
        <v>141</v>
      </c>
      <c r="AU401" s="1">
        <v>2021.0</v>
      </c>
      <c r="AV401" s="1">
        <v>152.0</v>
      </c>
      <c r="AW401" s="1" t="s">
        <v>74</v>
      </c>
      <c r="AX401" s="1" t="s">
        <v>74</v>
      </c>
      <c r="AY401" s="1" t="s">
        <v>74</v>
      </c>
      <c r="AZ401" s="1" t="s">
        <v>74</v>
      </c>
      <c r="BA401" s="1" t="s">
        <v>74</v>
      </c>
      <c r="BB401" s="1" t="s">
        <v>74</v>
      </c>
      <c r="BC401" s="1" t="s">
        <v>74</v>
      </c>
      <c r="BD401" s="1">
        <v>111462.0</v>
      </c>
      <c r="BE401" s="1" t="s">
        <v>4235</v>
      </c>
      <c r="BF401" s="2" t="str">
        <f>HYPERLINK("http://dx.doi.org/10.1016/j.exger.2021.111462","http://dx.doi.org/10.1016/j.exger.2021.111462")</f>
        <v>http://dx.doi.org/10.1016/j.exger.2021.111462</v>
      </c>
      <c r="BG401" s="1" t="s">
        <v>74</v>
      </c>
      <c r="BH401" s="1" t="s">
        <v>460</v>
      </c>
      <c r="BI401" s="1" t="s">
        <v>74</v>
      </c>
      <c r="BJ401" s="1" t="s">
        <v>74</v>
      </c>
      <c r="BK401" s="1" t="s">
        <v>74</v>
      </c>
      <c r="BL401" s="1" t="s">
        <v>74</v>
      </c>
      <c r="BM401" s="1" t="s">
        <v>74</v>
      </c>
      <c r="BN401" s="1">
        <v>3.4224846E7</v>
      </c>
      <c r="BO401" s="1" t="s">
        <v>74</v>
      </c>
      <c r="BP401" s="1" t="s">
        <v>74</v>
      </c>
      <c r="BQ401" s="1" t="s">
        <v>74</v>
      </c>
      <c r="BR401" s="1" t="s">
        <v>74</v>
      </c>
      <c r="BS401" s="1" t="s">
        <v>4236</v>
      </c>
      <c r="BT401" s="1" t="str">
        <f>HYPERLINK("https%3A%2F%2Fwww.webofscience.com%2Fwos%2Fwoscc%2Ffull-record%2FWOS:000681133200030","View Full Record in Web of Science")</f>
        <v>View Full Record in Web of Science</v>
      </c>
    </row>
    <row r="402" ht="12.75" customHeight="1">
      <c r="A402" s="1" t="s">
        <v>72</v>
      </c>
      <c r="B402" s="1" t="s">
        <v>4237</v>
      </c>
      <c r="C402" s="1" t="s">
        <v>74</v>
      </c>
      <c r="D402" s="1" t="s">
        <v>74</v>
      </c>
      <c r="E402" s="1" t="s">
        <v>74</v>
      </c>
      <c r="F402" s="1" t="s">
        <v>4238</v>
      </c>
      <c r="G402" s="1" t="s">
        <v>74</v>
      </c>
      <c r="H402" s="1" t="s">
        <v>74</v>
      </c>
      <c r="I402" s="1" t="s">
        <v>4239</v>
      </c>
      <c r="J402" s="1" t="s">
        <v>4240</v>
      </c>
      <c r="K402" s="1" t="s">
        <v>74</v>
      </c>
      <c r="L402" s="1" t="s">
        <v>74</v>
      </c>
      <c r="M402" s="1" t="s">
        <v>74</v>
      </c>
      <c r="N402" s="1" t="s">
        <v>74</v>
      </c>
      <c r="O402" s="1" t="s">
        <v>74</v>
      </c>
      <c r="P402" s="1" t="s">
        <v>74</v>
      </c>
      <c r="Q402" s="1" t="s">
        <v>74</v>
      </c>
      <c r="R402" s="1" t="s">
        <v>74</v>
      </c>
      <c r="S402" s="1" t="s">
        <v>74</v>
      </c>
      <c r="T402" s="1" t="s">
        <v>74</v>
      </c>
      <c r="U402" s="1" t="s">
        <v>74</v>
      </c>
      <c r="V402" s="1" t="s">
        <v>74</v>
      </c>
      <c r="W402" s="1" t="s">
        <v>74</v>
      </c>
      <c r="X402" s="1" t="s">
        <v>74</v>
      </c>
      <c r="Y402" s="1" t="s">
        <v>74</v>
      </c>
      <c r="Z402" s="1" t="s">
        <v>74</v>
      </c>
      <c r="AA402" s="1" t="s">
        <v>4241</v>
      </c>
      <c r="AB402" s="1" t="s">
        <v>4242</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4243</v>
      </c>
      <c r="AP402" s="1" t="s">
        <v>4244</v>
      </c>
      <c r="AQ402" s="1" t="s">
        <v>74</v>
      </c>
      <c r="AR402" s="1" t="s">
        <v>74</v>
      </c>
      <c r="AS402" s="1" t="s">
        <v>74</v>
      </c>
      <c r="AT402" s="1" t="s">
        <v>2373</v>
      </c>
      <c r="AU402" s="1">
        <v>2020.0</v>
      </c>
      <c r="AV402" s="1">
        <v>273.0</v>
      </c>
      <c r="AW402" s="1" t="s">
        <v>74</v>
      </c>
      <c r="AX402" s="1" t="s">
        <v>74</v>
      </c>
      <c r="AY402" s="1" t="s">
        <v>74</v>
      </c>
      <c r="AZ402" s="1" t="s">
        <v>74</v>
      </c>
      <c r="BA402" s="1" t="s">
        <v>74</v>
      </c>
      <c r="BB402" s="1">
        <v>364.0</v>
      </c>
      <c r="BC402" s="1">
        <v>374.0</v>
      </c>
      <c r="BD402" s="1" t="s">
        <v>74</v>
      </c>
      <c r="BE402" s="1" t="s">
        <v>4245</v>
      </c>
      <c r="BF402" s="2" t="str">
        <f>HYPERLINK("http://dx.doi.org/10.1016/j.jad.2020.04.065","http://dx.doi.org/10.1016/j.jad.2020.04.065")</f>
        <v>http://dx.doi.org/10.1016/j.jad.2020.04.065</v>
      </c>
      <c r="BG402" s="1" t="s">
        <v>74</v>
      </c>
      <c r="BH402" s="1" t="s">
        <v>74</v>
      </c>
      <c r="BI402" s="1" t="s">
        <v>74</v>
      </c>
      <c r="BJ402" s="1" t="s">
        <v>74</v>
      </c>
      <c r="BK402" s="1" t="s">
        <v>74</v>
      </c>
      <c r="BL402" s="1" t="s">
        <v>74</v>
      </c>
      <c r="BM402" s="1" t="s">
        <v>74</v>
      </c>
      <c r="BN402" s="1">
        <v>3.256093E7</v>
      </c>
      <c r="BO402" s="1" t="s">
        <v>74</v>
      </c>
      <c r="BP402" s="1" t="s">
        <v>74</v>
      </c>
      <c r="BQ402" s="1" t="s">
        <v>74</v>
      </c>
      <c r="BR402" s="1" t="s">
        <v>74</v>
      </c>
      <c r="BS402" s="1" t="s">
        <v>4246</v>
      </c>
      <c r="BT402" s="1" t="str">
        <f>HYPERLINK("https%3A%2F%2Fwww.webofscience.com%2Fwos%2Fwoscc%2Ffull-record%2FWOS:000541424200005","View Full Record in Web of Science")</f>
        <v>View Full Record in Web of Science</v>
      </c>
    </row>
    <row r="403" ht="12.75" customHeight="1">
      <c r="A403" s="1" t="s">
        <v>72</v>
      </c>
      <c r="B403" s="1" t="s">
        <v>4247</v>
      </c>
      <c r="C403" s="1" t="s">
        <v>74</v>
      </c>
      <c r="D403" s="1" t="s">
        <v>74</v>
      </c>
      <c r="E403" s="1" t="s">
        <v>74</v>
      </c>
      <c r="F403" s="1" t="s">
        <v>4248</v>
      </c>
      <c r="G403" s="1" t="s">
        <v>74</v>
      </c>
      <c r="H403" s="1" t="s">
        <v>74</v>
      </c>
      <c r="I403" s="1" t="s">
        <v>4249</v>
      </c>
      <c r="J403" s="1" t="s">
        <v>4250</v>
      </c>
      <c r="K403" s="1" t="s">
        <v>74</v>
      </c>
      <c r="L403" s="1" t="s">
        <v>74</v>
      </c>
      <c r="M403" s="1" t="s">
        <v>74</v>
      </c>
      <c r="N403" s="1" t="s">
        <v>74</v>
      </c>
      <c r="O403" s="1" t="s">
        <v>74</v>
      </c>
      <c r="P403" s="1" t="s">
        <v>74</v>
      </c>
      <c r="Q403" s="1" t="s">
        <v>74</v>
      </c>
      <c r="R403" s="1" t="s">
        <v>74</v>
      </c>
      <c r="S403" s="1" t="s">
        <v>74</v>
      </c>
      <c r="T403" s="1" t="s">
        <v>74</v>
      </c>
      <c r="U403" s="1" t="s">
        <v>74</v>
      </c>
      <c r="V403" s="1" t="s">
        <v>4251</v>
      </c>
      <c r="W403" s="1" t="s">
        <v>74</v>
      </c>
      <c r="X403" s="1" t="s">
        <v>74</v>
      </c>
      <c r="Y403" s="1" t="s">
        <v>74</v>
      </c>
      <c r="Z403" s="1" t="s">
        <v>74</v>
      </c>
      <c r="AA403" s="1" t="s">
        <v>4252</v>
      </c>
      <c r="AB403" s="1" t="s">
        <v>4253</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4254</v>
      </c>
      <c r="AP403" s="1" t="s">
        <v>4255</v>
      </c>
      <c r="AQ403" s="1" t="s">
        <v>74</v>
      </c>
      <c r="AR403" s="1" t="s">
        <v>74</v>
      </c>
      <c r="AS403" s="1" t="s">
        <v>74</v>
      </c>
      <c r="AT403" s="1" t="s">
        <v>4256</v>
      </c>
      <c r="AU403" s="1">
        <v>2017.0</v>
      </c>
      <c r="AV403" s="1">
        <v>48.0</v>
      </c>
      <c r="AW403" s="1">
        <v>4.0</v>
      </c>
      <c r="AX403" s="1" t="s">
        <v>74</v>
      </c>
      <c r="AY403" s="1" t="s">
        <v>74</v>
      </c>
      <c r="AZ403" s="1" t="s">
        <v>74</v>
      </c>
      <c r="BA403" s="1" t="s">
        <v>74</v>
      </c>
      <c r="BB403" s="1">
        <v>671.0</v>
      </c>
      <c r="BC403" s="1">
        <v>679.0</v>
      </c>
      <c r="BD403" s="1" t="s">
        <v>74</v>
      </c>
      <c r="BE403" s="1" t="s">
        <v>4257</v>
      </c>
      <c r="BF403" s="2" t="str">
        <f>HYPERLINK("http://dx.doi.org/10.1016/j.bjm.2017.01.011","http://dx.doi.org/10.1016/j.bjm.2017.01.011")</f>
        <v>http://dx.doi.org/10.1016/j.bjm.2017.01.011</v>
      </c>
      <c r="BG403" s="1" t="s">
        <v>74</v>
      </c>
      <c r="BH403" s="1" t="s">
        <v>74</v>
      </c>
      <c r="BI403" s="1" t="s">
        <v>74</v>
      </c>
      <c r="BJ403" s="1" t="s">
        <v>74</v>
      </c>
      <c r="BK403" s="1" t="s">
        <v>74</v>
      </c>
      <c r="BL403" s="1" t="s">
        <v>74</v>
      </c>
      <c r="BM403" s="1" t="s">
        <v>74</v>
      </c>
      <c r="BN403" s="1">
        <v>2.865189E7</v>
      </c>
      <c r="BO403" s="1" t="s">
        <v>74</v>
      </c>
      <c r="BP403" s="1" t="s">
        <v>74</v>
      </c>
      <c r="BQ403" s="1" t="s">
        <v>74</v>
      </c>
      <c r="BR403" s="1" t="s">
        <v>74</v>
      </c>
      <c r="BS403" s="1" t="s">
        <v>4258</v>
      </c>
      <c r="BT403" s="1" t="str">
        <f>HYPERLINK("https%3A%2F%2Fwww.webofscience.com%2Fwos%2Fwoscc%2Ffull-record%2FWOS:000414697800010","View Full Record in Web of Science")</f>
        <v>View Full Record in Web of Science</v>
      </c>
    </row>
    <row r="404" ht="12.75" customHeight="1">
      <c r="A404" s="1" t="s">
        <v>72</v>
      </c>
      <c r="B404" s="1" t="s">
        <v>4259</v>
      </c>
      <c r="C404" s="1" t="s">
        <v>74</v>
      </c>
      <c r="D404" s="1" t="s">
        <v>74</v>
      </c>
      <c r="E404" s="1" t="s">
        <v>74</v>
      </c>
      <c r="F404" s="1" t="s">
        <v>4260</v>
      </c>
      <c r="G404" s="1" t="s">
        <v>74</v>
      </c>
      <c r="H404" s="1" t="s">
        <v>74</v>
      </c>
      <c r="I404" s="1" t="s">
        <v>4261</v>
      </c>
      <c r="J404" s="1" t="s">
        <v>1550</v>
      </c>
      <c r="K404" s="1" t="s">
        <v>74</v>
      </c>
      <c r="L404" s="1" t="s">
        <v>74</v>
      </c>
      <c r="M404" s="1" t="s">
        <v>74</v>
      </c>
      <c r="N404" s="1" t="s">
        <v>74</v>
      </c>
      <c r="O404" s="1" t="s">
        <v>74</v>
      </c>
      <c r="P404" s="1" t="s">
        <v>74</v>
      </c>
      <c r="Q404" s="1" t="s">
        <v>74</v>
      </c>
      <c r="R404" s="1" t="s">
        <v>74</v>
      </c>
      <c r="S404" s="1" t="s">
        <v>74</v>
      </c>
      <c r="T404" s="1" t="s">
        <v>74</v>
      </c>
      <c r="U404" s="1" t="s">
        <v>74</v>
      </c>
      <c r="V404" s="1" t="s">
        <v>4262</v>
      </c>
      <c r="W404" s="1" t="s">
        <v>74</v>
      </c>
      <c r="X404" s="1" t="s">
        <v>74</v>
      </c>
      <c r="Y404" s="1" t="s">
        <v>74</v>
      </c>
      <c r="Z404" s="1" t="s">
        <v>74</v>
      </c>
      <c r="AA404" s="1" t="s">
        <v>4263</v>
      </c>
      <c r="AB404" s="1" t="s">
        <v>74</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1554</v>
      </c>
      <c r="AP404" s="1" t="s">
        <v>3038</v>
      </c>
      <c r="AQ404" s="1" t="s">
        <v>74</v>
      </c>
      <c r="AR404" s="1" t="s">
        <v>74</v>
      </c>
      <c r="AS404" s="1" t="s">
        <v>74</v>
      </c>
      <c r="AT404" s="1" t="s">
        <v>4264</v>
      </c>
      <c r="AU404" s="1">
        <v>2025.0</v>
      </c>
      <c r="AV404" s="1" t="s">
        <v>74</v>
      </c>
      <c r="AW404" s="1" t="s">
        <v>74</v>
      </c>
      <c r="AX404" s="1" t="s">
        <v>74</v>
      </c>
      <c r="AY404" s="1" t="s">
        <v>74</v>
      </c>
      <c r="AZ404" s="1" t="s">
        <v>74</v>
      </c>
      <c r="BA404" s="1" t="s">
        <v>74</v>
      </c>
      <c r="BB404" s="1" t="s">
        <v>74</v>
      </c>
      <c r="BC404" s="1" t="s">
        <v>74</v>
      </c>
      <c r="BD404" s="1" t="s">
        <v>74</v>
      </c>
      <c r="BE404" s="1" t="s">
        <v>4265</v>
      </c>
      <c r="BF404" s="2" t="str">
        <f>HYPERLINK("http://dx.doi.org/10.1021/acs.inorgchem.4c04737","http://dx.doi.org/10.1021/acs.inorgchem.4c04737")</f>
        <v>http://dx.doi.org/10.1021/acs.inorgchem.4c04737</v>
      </c>
      <c r="BG404" s="1" t="s">
        <v>74</v>
      </c>
      <c r="BH404" s="1" t="s">
        <v>289</v>
      </c>
      <c r="BI404" s="1" t="s">
        <v>74</v>
      </c>
      <c r="BJ404" s="1" t="s">
        <v>74</v>
      </c>
      <c r="BK404" s="1" t="s">
        <v>74</v>
      </c>
      <c r="BL404" s="1" t="s">
        <v>74</v>
      </c>
      <c r="BM404" s="1" t="s">
        <v>74</v>
      </c>
      <c r="BN404" s="1">
        <v>4.0208057E7</v>
      </c>
      <c r="BO404" s="1" t="s">
        <v>74</v>
      </c>
      <c r="BP404" s="1" t="s">
        <v>74</v>
      </c>
      <c r="BQ404" s="1" t="s">
        <v>74</v>
      </c>
      <c r="BR404" s="1" t="s">
        <v>74</v>
      </c>
      <c r="BS404" s="1" t="s">
        <v>4266</v>
      </c>
      <c r="BT404" s="1" t="str">
        <f>HYPERLINK("https%3A%2F%2Fwww.webofscience.com%2Fwos%2Fwoscc%2Ffull-record%2FWOS:001466683200001","View Full Record in Web of Science")</f>
        <v>View Full Record in Web of Science</v>
      </c>
    </row>
    <row r="405" ht="12.75" customHeight="1">
      <c r="A405" s="1" t="s">
        <v>72</v>
      </c>
      <c r="B405" s="1" t="s">
        <v>4267</v>
      </c>
      <c r="C405" s="1" t="s">
        <v>74</v>
      </c>
      <c r="D405" s="1" t="s">
        <v>74</v>
      </c>
      <c r="E405" s="1" t="s">
        <v>74</v>
      </c>
      <c r="F405" s="1" t="s">
        <v>4268</v>
      </c>
      <c r="G405" s="1" t="s">
        <v>74</v>
      </c>
      <c r="H405" s="1" t="s">
        <v>74</v>
      </c>
      <c r="I405" s="1" t="s">
        <v>4269</v>
      </c>
      <c r="J405" s="1" t="s">
        <v>3288</v>
      </c>
      <c r="K405" s="1" t="s">
        <v>74</v>
      </c>
      <c r="L405" s="1" t="s">
        <v>74</v>
      </c>
      <c r="M405" s="1" t="s">
        <v>74</v>
      </c>
      <c r="N405" s="1" t="s">
        <v>74</v>
      </c>
      <c r="O405" s="1" t="s">
        <v>74</v>
      </c>
      <c r="P405" s="1" t="s">
        <v>74</v>
      </c>
      <c r="Q405" s="1" t="s">
        <v>74</v>
      </c>
      <c r="R405" s="1" t="s">
        <v>74</v>
      </c>
      <c r="S405" s="1" t="s">
        <v>74</v>
      </c>
      <c r="T405" s="1" t="s">
        <v>74</v>
      </c>
      <c r="U405" s="1" t="s">
        <v>74</v>
      </c>
      <c r="V405" s="1" t="s">
        <v>4270</v>
      </c>
      <c r="W405" s="1" t="s">
        <v>74</v>
      </c>
      <c r="X405" s="1" t="s">
        <v>74</v>
      </c>
      <c r="Y405" s="1" t="s">
        <v>74</v>
      </c>
      <c r="Z405" s="1" t="s">
        <v>74</v>
      </c>
      <c r="AA405" s="1" t="s">
        <v>4271</v>
      </c>
      <c r="AB405" s="1" t="s">
        <v>4272</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74</v>
      </c>
      <c r="AP405" s="1" t="s">
        <v>3292</v>
      </c>
      <c r="AQ405" s="1" t="s">
        <v>74</v>
      </c>
      <c r="AR405" s="1" t="s">
        <v>74</v>
      </c>
      <c r="AS405" s="1" t="s">
        <v>74</v>
      </c>
      <c r="AT405" s="1" t="s">
        <v>264</v>
      </c>
      <c r="AU405" s="1">
        <v>2022.0</v>
      </c>
      <c r="AV405" s="1">
        <v>11.0</v>
      </c>
      <c r="AW405" s="1">
        <v>1.0</v>
      </c>
      <c r="AX405" s="1" t="s">
        <v>74</v>
      </c>
      <c r="AY405" s="1" t="s">
        <v>74</v>
      </c>
      <c r="AZ405" s="1" t="s">
        <v>74</v>
      </c>
      <c r="BA405" s="1" t="s">
        <v>74</v>
      </c>
      <c r="BB405" s="1" t="s">
        <v>74</v>
      </c>
      <c r="BC405" s="1" t="s">
        <v>74</v>
      </c>
      <c r="BD405" s="1">
        <v>74.0</v>
      </c>
      <c r="BE405" s="1" t="s">
        <v>4273</v>
      </c>
      <c r="BF405" s="2" t="str">
        <f>HYPERLINK("http://dx.doi.org/10.3390/biology11010074","http://dx.doi.org/10.3390/biology11010074")</f>
        <v>http://dx.doi.org/10.3390/biology11010074</v>
      </c>
      <c r="BG405" s="1" t="s">
        <v>74</v>
      </c>
      <c r="BH405" s="1" t="s">
        <v>74</v>
      </c>
      <c r="BI405" s="1" t="s">
        <v>74</v>
      </c>
      <c r="BJ405" s="1" t="s">
        <v>74</v>
      </c>
      <c r="BK405" s="1" t="s">
        <v>74</v>
      </c>
      <c r="BL405" s="1" t="s">
        <v>74</v>
      </c>
      <c r="BM405" s="1" t="s">
        <v>74</v>
      </c>
      <c r="BN405" s="1">
        <v>3.5053071E7</v>
      </c>
      <c r="BO405" s="1" t="s">
        <v>74</v>
      </c>
      <c r="BP405" s="1" t="s">
        <v>74</v>
      </c>
      <c r="BQ405" s="1" t="s">
        <v>74</v>
      </c>
      <c r="BR405" s="1" t="s">
        <v>74</v>
      </c>
      <c r="BS405" s="1" t="s">
        <v>4274</v>
      </c>
      <c r="BT405" s="1" t="str">
        <f>HYPERLINK("https%3A%2F%2Fwww.webofscience.com%2Fwos%2Fwoscc%2Ffull-record%2FWOS:000747129600001","View Full Record in Web of Science")</f>
        <v>View Full Record in Web of Science</v>
      </c>
    </row>
    <row r="406" ht="12.75" customHeight="1">
      <c r="A406" s="1" t="s">
        <v>72</v>
      </c>
      <c r="B406" s="1" t="s">
        <v>4275</v>
      </c>
      <c r="C406" s="1" t="s">
        <v>74</v>
      </c>
      <c r="D406" s="1" t="s">
        <v>74</v>
      </c>
      <c r="E406" s="1" t="s">
        <v>74</v>
      </c>
      <c r="F406" s="1" t="s">
        <v>4276</v>
      </c>
      <c r="G406" s="1" t="s">
        <v>74</v>
      </c>
      <c r="H406" s="1" t="s">
        <v>74</v>
      </c>
      <c r="I406" s="1" t="s">
        <v>4277</v>
      </c>
      <c r="J406" s="1" t="s">
        <v>1973</v>
      </c>
      <c r="K406" s="1" t="s">
        <v>74</v>
      </c>
      <c r="L406" s="1" t="s">
        <v>74</v>
      </c>
      <c r="M406" s="1" t="s">
        <v>74</v>
      </c>
      <c r="N406" s="1" t="s">
        <v>74</v>
      </c>
      <c r="O406" s="1" t="s">
        <v>74</v>
      </c>
      <c r="P406" s="1" t="s">
        <v>74</v>
      </c>
      <c r="Q406" s="1" t="s">
        <v>74</v>
      </c>
      <c r="R406" s="1" t="s">
        <v>74</v>
      </c>
      <c r="S406" s="1" t="s">
        <v>74</v>
      </c>
      <c r="T406" s="1" t="s">
        <v>74</v>
      </c>
      <c r="U406" s="1" t="s">
        <v>74</v>
      </c>
      <c r="V406" s="1" t="s">
        <v>4278</v>
      </c>
      <c r="W406" s="1" t="s">
        <v>74</v>
      </c>
      <c r="X406" s="1" t="s">
        <v>74</v>
      </c>
      <c r="Y406" s="1" t="s">
        <v>74</v>
      </c>
      <c r="Z406" s="1" t="s">
        <v>74</v>
      </c>
      <c r="AA406" s="1" t="s">
        <v>4279</v>
      </c>
      <c r="AB406" s="1" t="s">
        <v>4280</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1977</v>
      </c>
      <c r="AP406" s="1" t="s">
        <v>1978</v>
      </c>
      <c r="AQ406" s="1" t="s">
        <v>74</v>
      </c>
      <c r="AR406" s="1" t="s">
        <v>74</v>
      </c>
      <c r="AS406" s="1" t="s">
        <v>74</v>
      </c>
      <c r="AT406" s="1" t="s">
        <v>214</v>
      </c>
      <c r="AU406" s="1">
        <v>2021.0</v>
      </c>
      <c r="AV406" s="1">
        <v>46.0</v>
      </c>
      <c r="AW406" s="1">
        <v>2.0</v>
      </c>
      <c r="AX406" s="1" t="s">
        <v>74</v>
      </c>
      <c r="AY406" s="1" t="s">
        <v>74</v>
      </c>
      <c r="AZ406" s="1" t="s">
        <v>74</v>
      </c>
      <c r="BA406" s="1" t="s">
        <v>74</v>
      </c>
      <c r="BB406" s="1">
        <v>119.0</v>
      </c>
      <c r="BC406" s="1">
        <v>124.0</v>
      </c>
      <c r="BD406" s="1" t="s">
        <v>74</v>
      </c>
      <c r="BE406" s="1" t="s">
        <v>4281</v>
      </c>
      <c r="BF406" s="2" t="str">
        <f>HYPERLINK("http://dx.doi.org/10.1097/RLU.0000000000003430","http://dx.doi.org/10.1097/RLU.0000000000003430")</f>
        <v>http://dx.doi.org/10.1097/RLU.0000000000003430</v>
      </c>
      <c r="BG406" s="1" t="s">
        <v>74</v>
      </c>
      <c r="BH406" s="1" t="s">
        <v>74</v>
      </c>
      <c r="BI406" s="1" t="s">
        <v>74</v>
      </c>
      <c r="BJ406" s="1" t="s">
        <v>74</v>
      </c>
      <c r="BK406" s="1" t="s">
        <v>74</v>
      </c>
      <c r="BL406" s="1" t="s">
        <v>74</v>
      </c>
      <c r="BM406" s="1" t="s">
        <v>74</v>
      </c>
      <c r="BN406" s="1">
        <v>3.3323728E7</v>
      </c>
      <c r="BO406" s="1" t="s">
        <v>74</v>
      </c>
      <c r="BP406" s="1" t="s">
        <v>74</v>
      </c>
      <c r="BQ406" s="1" t="s">
        <v>74</v>
      </c>
      <c r="BR406" s="1" t="s">
        <v>74</v>
      </c>
      <c r="BS406" s="1" t="s">
        <v>4282</v>
      </c>
      <c r="BT406" s="1" t="str">
        <f>HYPERLINK("https%3A%2F%2Fwww.webofscience.com%2Fwos%2Fwoscc%2Ffull-record%2FWOS:000616255100022","View Full Record in Web of Science")</f>
        <v>View Full Record in Web of Science</v>
      </c>
    </row>
    <row r="407" ht="12.75" customHeight="1">
      <c r="A407" s="1" t="s">
        <v>72</v>
      </c>
      <c r="B407" s="1" t="s">
        <v>4283</v>
      </c>
      <c r="C407" s="1" t="s">
        <v>74</v>
      </c>
      <c r="D407" s="1" t="s">
        <v>74</v>
      </c>
      <c r="E407" s="1" t="s">
        <v>74</v>
      </c>
      <c r="F407" s="1" t="s">
        <v>4284</v>
      </c>
      <c r="G407" s="1" t="s">
        <v>74</v>
      </c>
      <c r="H407" s="1" t="s">
        <v>74</v>
      </c>
      <c r="I407" s="1" t="s">
        <v>4285</v>
      </c>
      <c r="J407" s="1" t="s">
        <v>4286</v>
      </c>
      <c r="K407" s="1" t="s">
        <v>74</v>
      </c>
      <c r="L407" s="1" t="s">
        <v>74</v>
      </c>
      <c r="M407" s="1" t="s">
        <v>74</v>
      </c>
      <c r="N407" s="1" t="s">
        <v>74</v>
      </c>
      <c r="O407" s="1" t="s">
        <v>74</v>
      </c>
      <c r="P407" s="1" t="s">
        <v>74</v>
      </c>
      <c r="Q407" s="1" t="s">
        <v>74</v>
      </c>
      <c r="R407" s="1" t="s">
        <v>74</v>
      </c>
      <c r="S407" s="1" t="s">
        <v>74</v>
      </c>
      <c r="T407" s="1" t="s">
        <v>74</v>
      </c>
      <c r="U407" s="1" t="s">
        <v>74</v>
      </c>
      <c r="V407" s="1" t="s">
        <v>4287</v>
      </c>
      <c r="W407" s="1" t="s">
        <v>74</v>
      </c>
      <c r="X407" s="1" t="s">
        <v>74</v>
      </c>
      <c r="Y407" s="1" t="s">
        <v>74</v>
      </c>
      <c r="Z407" s="1" t="s">
        <v>74</v>
      </c>
      <c r="AA407" s="1" t="s">
        <v>4288</v>
      </c>
      <c r="AB407" s="1" t="s">
        <v>4289</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4290</v>
      </c>
      <c r="AP407" s="1" t="s">
        <v>4291</v>
      </c>
      <c r="AQ407" s="1" t="s">
        <v>74</v>
      </c>
      <c r="AR407" s="1" t="s">
        <v>74</v>
      </c>
      <c r="AS407" s="1" t="s">
        <v>74</v>
      </c>
      <c r="AT407" s="1" t="s">
        <v>3638</v>
      </c>
      <c r="AU407" s="1">
        <v>2020.0</v>
      </c>
      <c r="AV407" s="1">
        <v>29.0</v>
      </c>
      <c r="AW407" s="1">
        <v>5.0</v>
      </c>
      <c r="AX407" s="1" t="s">
        <v>74</v>
      </c>
      <c r="AY407" s="1" t="s">
        <v>74</v>
      </c>
      <c r="AZ407" s="1" t="s">
        <v>74</v>
      </c>
      <c r="BA407" s="1" t="s">
        <v>74</v>
      </c>
      <c r="BB407" s="1">
        <v>678.0</v>
      </c>
      <c r="BC407" s="1">
        <v>692.0</v>
      </c>
      <c r="BD407" s="1" t="s">
        <v>74</v>
      </c>
      <c r="BE407" s="1" t="s">
        <v>4292</v>
      </c>
      <c r="BF407" s="2" t="str">
        <f>HYPERLINK("http://dx.doi.org/10.1080/1359432X.2020.1758669","http://dx.doi.org/10.1080/1359432X.2020.1758669")</f>
        <v>http://dx.doi.org/10.1080/1359432X.2020.1758669</v>
      </c>
      <c r="BG407" s="1" t="s">
        <v>74</v>
      </c>
      <c r="BH407" s="1" t="s">
        <v>4293</v>
      </c>
      <c r="BI407" s="1" t="s">
        <v>74</v>
      </c>
      <c r="BJ407" s="1" t="s">
        <v>74</v>
      </c>
      <c r="BK407" s="1" t="s">
        <v>74</v>
      </c>
      <c r="BL407" s="1" t="s">
        <v>74</v>
      </c>
      <c r="BM407" s="1" t="s">
        <v>74</v>
      </c>
      <c r="BN407" s="1" t="s">
        <v>74</v>
      </c>
      <c r="BO407" s="1" t="s">
        <v>74</v>
      </c>
      <c r="BP407" s="1" t="s">
        <v>74</v>
      </c>
      <c r="BQ407" s="1" t="s">
        <v>74</v>
      </c>
      <c r="BR407" s="1" t="s">
        <v>74</v>
      </c>
      <c r="BS407" s="1" t="s">
        <v>4294</v>
      </c>
      <c r="BT407" s="1" t="str">
        <f>HYPERLINK("https%3A%2F%2Fwww.webofscience.com%2Fwos%2Fwoscc%2Ffull-record%2FWOS:000533771100001","View Full Record in Web of Science")</f>
        <v>View Full Record in Web of Science</v>
      </c>
    </row>
    <row r="408" ht="12.75" customHeight="1">
      <c r="A408" s="1" t="s">
        <v>72</v>
      </c>
      <c r="B408" s="1" t="s">
        <v>4295</v>
      </c>
      <c r="C408" s="1" t="s">
        <v>74</v>
      </c>
      <c r="D408" s="1" t="s">
        <v>74</v>
      </c>
      <c r="E408" s="1" t="s">
        <v>74</v>
      </c>
      <c r="F408" s="1" t="s">
        <v>4296</v>
      </c>
      <c r="G408" s="1" t="s">
        <v>74</v>
      </c>
      <c r="H408" s="1" t="s">
        <v>74</v>
      </c>
      <c r="I408" s="1" t="s">
        <v>4297</v>
      </c>
      <c r="J408" s="1" t="s">
        <v>1561</v>
      </c>
      <c r="K408" s="1" t="s">
        <v>74</v>
      </c>
      <c r="L408" s="1" t="s">
        <v>74</v>
      </c>
      <c r="M408" s="1" t="s">
        <v>74</v>
      </c>
      <c r="N408" s="1" t="s">
        <v>74</v>
      </c>
      <c r="O408" s="1" t="s">
        <v>74</v>
      </c>
      <c r="P408" s="1" t="s">
        <v>74</v>
      </c>
      <c r="Q408" s="1" t="s">
        <v>74</v>
      </c>
      <c r="R408" s="1" t="s">
        <v>74</v>
      </c>
      <c r="S408" s="1" t="s">
        <v>74</v>
      </c>
      <c r="T408" s="1" t="s">
        <v>74</v>
      </c>
      <c r="U408" s="1" t="s">
        <v>74</v>
      </c>
      <c r="V408" s="1" t="s">
        <v>4298</v>
      </c>
      <c r="W408" s="1" t="s">
        <v>74</v>
      </c>
      <c r="X408" s="1" t="s">
        <v>74</v>
      </c>
      <c r="Y408" s="1" t="s">
        <v>74</v>
      </c>
      <c r="Z408" s="1" t="s">
        <v>74</v>
      </c>
      <c r="AA408" s="1" t="s">
        <v>4299</v>
      </c>
      <c r="AB408" s="1" t="s">
        <v>4300</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1565</v>
      </c>
      <c r="AP408" s="1" t="s">
        <v>74</v>
      </c>
      <c r="AQ408" s="1" t="s">
        <v>74</v>
      </c>
      <c r="AR408" s="1" t="s">
        <v>74</v>
      </c>
      <c r="AS408" s="1" t="s">
        <v>74</v>
      </c>
      <c r="AT408" s="1" t="s">
        <v>898</v>
      </c>
      <c r="AU408" s="1">
        <v>2023.0</v>
      </c>
      <c r="AV408" s="1">
        <v>14.0</v>
      </c>
      <c r="AW408" s="1" t="s">
        <v>74</v>
      </c>
      <c r="AX408" s="1" t="s">
        <v>74</v>
      </c>
      <c r="AY408" s="1" t="s">
        <v>74</v>
      </c>
      <c r="AZ408" s="1" t="s">
        <v>74</v>
      </c>
      <c r="BA408" s="1" t="s">
        <v>74</v>
      </c>
      <c r="BB408" s="1" t="s">
        <v>74</v>
      </c>
      <c r="BC408" s="1" t="s">
        <v>74</v>
      </c>
      <c r="BD408" s="1">
        <v>1247199.0</v>
      </c>
      <c r="BE408" s="1" t="s">
        <v>4301</v>
      </c>
      <c r="BF408" s="2" t="str">
        <f>HYPERLINK("http://dx.doi.org/10.3389/fimmu.2023.1247199","http://dx.doi.org/10.3389/fimmu.2023.1247199")</f>
        <v>http://dx.doi.org/10.3389/fimmu.2023.1247199</v>
      </c>
      <c r="BG408" s="1" t="s">
        <v>74</v>
      </c>
      <c r="BH408" s="1" t="s">
        <v>74</v>
      </c>
      <c r="BI408" s="1" t="s">
        <v>74</v>
      </c>
      <c r="BJ408" s="1" t="s">
        <v>74</v>
      </c>
      <c r="BK408" s="1" t="s">
        <v>74</v>
      </c>
      <c r="BL408" s="1" t="s">
        <v>74</v>
      </c>
      <c r="BM408" s="1" t="s">
        <v>74</v>
      </c>
      <c r="BN408" s="1">
        <v>3.7711618E7</v>
      </c>
      <c r="BO408" s="1" t="s">
        <v>74</v>
      </c>
      <c r="BP408" s="1" t="s">
        <v>74</v>
      </c>
      <c r="BQ408" s="1" t="s">
        <v>74</v>
      </c>
      <c r="BR408" s="1" t="s">
        <v>74</v>
      </c>
      <c r="BS408" s="1" t="s">
        <v>4302</v>
      </c>
      <c r="BT408" s="1" t="str">
        <f>HYPERLINK("https%3A%2F%2Fwww.webofscience.com%2Fwos%2Fwoscc%2Ffull-record%2FWOS:001067166500001","View Full Record in Web of Science")</f>
        <v>View Full Record in Web of Science</v>
      </c>
    </row>
    <row r="409" ht="12.75" customHeight="1">
      <c r="A409" s="1" t="s">
        <v>72</v>
      </c>
      <c r="B409" s="1" t="s">
        <v>4303</v>
      </c>
      <c r="C409" s="1" t="s">
        <v>74</v>
      </c>
      <c r="D409" s="1" t="s">
        <v>74</v>
      </c>
      <c r="E409" s="1" t="s">
        <v>74</v>
      </c>
      <c r="F409" s="1" t="s">
        <v>4304</v>
      </c>
      <c r="G409" s="1" t="s">
        <v>74</v>
      </c>
      <c r="H409" s="1" t="s">
        <v>74</v>
      </c>
      <c r="I409" s="1" t="s">
        <v>4305</v>
      </c>
      <c r="J409" s="1" t="s">
        <v>4306</v>
      </c>
      <c r="K409" s="1" t="s">
        <v>74</v>
      </c>
      <c r="L409" s="1" t="s">
        <v>74</v>
      </c>
      <c r="M409" s="1" t="s">
        <v>74</v>
      </c>
      <c r="N409" s="1" t="s">
        <v>74</v>
      </c>
      <c r="O409" s="1" t="s">
        <v>74</v>
      </c>
      <c r="P409" s="1" t="s">
        <v>74</v>
      </c>
      <c r="Q409" s="1" t="s">
        <v>74</v>
      </c>
      <c r="R409" s="1" t="s">
        <v>74</v>
      </c>
      <c r="S409" s="1" t="s">
        <v>74</v>
      </c>
      <c r="T409" s="1" t="s">
        <v>74</v>
      </c>
      <c r="U409" s="1" t="s">
        <v>74</v>
      </c>
      <c r="V409" s="1" t="s">
        <v>4307</v>
      </c>
      <c r="W409" s="1" t="s">
        <v>74</v>
      </c>
      <c r="X409" s="1" t="s">
        <v>74</v>
      </c>
      <c r="Y409" s="1" t="s">
        <v>74</v>
      </c>
      <c r="Z409" s="1" t="s">
        <v>74</v>
      </c>
      <c r="AA409" s="1" t="s">
        <v>4308</v>
      </c>
      <c r="AB409" s="1" t="s">
        <v>4309</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74</v>
      </c>
      <c r="AP409" s="1" t="s">
        <v>4310</v>
      </c>
      <c r="AQ409" s="1" t="s">
        <v>74</v>
      </c>
      <c r="AR409" s="1" t="s">
        <v>74</v>
      </c>
      <c r="AS409" s="1" t="s">
        <v>74</v>
      </c>
      <c r="AT409" s="1" t="s">
        <v>202</v>
      </c>
      <c r="AU409" s="1">
        <v>2023.0</v>
      </c>
      <c r="AV409" s="1">
        <v>21.0</v>
      </c>
      <c r="AW409" s="1">
        <v>6.0</v>
      </c>
      <c r="AX409" s="1" t="s">
        <v>74</v>
      </c>
      <c r="AY409" s="1" t="s">
        <v>74</v>
      </c>
      <c r="AZ409" s="1" t="s">
        <v>74</v>
      </c>
      <c r="BA409" s="1" t="s">
        <v>74</v>
      </c>
      <c r="BB409" s="1" t="s">
        <v>74</v>
      </c>
      <c r="BC409" s="1" t="s">
        <v>74</v>
      </c>
      <c r="BD409" s="1" t="s">
        <v>4311</v>
      </c>
      <c r="BE409" s="1" t="s">
        <v>4312</v>
      </c>
      <c r="BF409" s="2" t="str">
        <f>HYPERLINK("http://dx.doi.org/10.1029/2023SW003446","http://dx.doi.org/10.1029/2023SW003446")</f>
        <v>http://dx.doi.org/10.1029/2023SW003446</v>
      </c>
      <c r="BG409" s="1" t="s">
        <v>74</v>
      </c>
      <c r="BH409" s="1" t="s">
        <v>74</v>
      </c>
      <c r="BI409" s="1" t="s">
        <v>74</v>
      </c>
      <c r="BJ409" s="1" t="s">
        <v>74</v>
      </c>
      <c r="BK409" s="1" t="s">
        <v>74</v>
      </c>
      <c r="BL409" s="1" t="s">
        <v>74</v>
      </c>
      <c r="BM409" s="1" t="s">
        <v>74</v>
      </c>
      <c r="BN409" s="1" t="s">
        <v>74</v>
      </c>
      <c r="BO409" s="1" t="s">
        <v>74</v>
      </c>
      <c r="BP409" s="1" t="s">
        <v>74</v>
      </c>
      <c r="BQ409" s="1" t="s">
        <v>74</v>
      </c>
      <c r="BR409" s="1" t="s">
        <v>74</v>
      </c>
      <c r="BS409" s="1" t="s">
        <v>4313</v>
      </c>
      <c r="BT409" s="1" t="str">
        <f>HYPERLINK("https%3A%2F%2Fwww.webofscience.com%2Fwos%2Fwoscc%2Ffull-record%2FWOS:000999274200001","View Full Record in Web of Science")</f>
        <v>View Full Record in Web of Science</v>
      </c>
    </row>
    <row r="410" ht="12.75" customHeight="1">
      <c r="A410" s="1" t="s">
        <v>72</v>
      </c>
      <c r="B410" s="1" t="s">
        <v>4314</v>
      </c>
      <c r="C410" s="1" t="s">
        <v>74</v>
      </c>
      <c r="D410" s="1" t="s">
        <v>74</v>
      </c>
      <c r="E410" s="1" t="s">
        <v>74</v>
      </c>
      <c r="F410" s="1" t="s">
        <v>4315</v>
      </c>
      <c r="G410" s="1" t="s">
        <v>74</v>
      </c>
      <c r="H410" s="1" t="s">
        <v>74</v>
      </c>
      <c r="I410" s="1" t="s">
        <v>4316</v>
      </c>
      <c r="J410" s="1" t="s">
        <v>4317</v>
      </c>
      <c r="K410" s="1" t="s">
        <v>74</v>
      </c>
      <c r="L410" s="1" t="s">
        <v>74</v>
      </c>
      <c r="M410" s="1" t="s">
        <v>74</v>
      </c>
      <c r="N410" s="1" t="s">
        <v>74</v>
      </c>
      <c r="O410" s="1" t="s">
        <v>74</v>
      </c>
      <c r="P410" s="1" t="s">
        <v>74</v>
      </c>
      <c r="Q410" s="1" t="s">
        <v>74</v>
      </c>
      <c r="R410" s="1" t="s">
        <v>74</v>
      </c>
      <c r="S410" s="1" t="s">
        <v>74</v>
      </c>
      <c r="T410" s="1" t="s">
        <v>74</v>
      </c>
      <c r="U410" s="1" t="s">
        <v>74</v>
      </c>
      <c r="V410" s="1" t="s">
        <v>4318</v>
      </c>
      <c r="W410" s="1" t="s">
        <v>74</v>
      </c>
      <c r="X410" s="1" t="s">
        <v>74</v>
      </c>
      <c r="Y410" s="1" t="s">
        <v>74</v>
      </c>
      <c r="Z410" s="1" t="s">
        <v>74</v>
      </c>
      <c r="AA410" s="1" t="s">
        <v>4319</v>
      </c>
      <c r="AB410" s="1" t="s">
        <v>4320</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4321</v>
      </c>
      <c r="AP410" s="1" t="s">
        <v>74</v>
      </c>
      <c r="AQ410" s="1" t="s">
        <v>74</v>
      </c>
      <c r="AR410" s="1" t="s">
        <v>74</v>
      </c>
      <c r="AS410" s="1" t="s">
        <v>74</v>
      </c>
      <c r="AT410" s="1" t="s">
        <v>4322</v>
      </c>
      <c r="AU410" s="1">
        <v>2021.0</v>
      </c>
      <c r="AV410" s="1">
        <v>12.0</v>
      </c>
      <c r="AW410" s="1" t="s">
        <v>74</v>
      </c>
      <c r="AX410" s="1" t="s">
        <v>74</v>
      </c>
      <c r="AY410" s="1" t="s">
        <v>74</v>
      </c>
      <c r="AZ410" s="1" t="s">
        <v>74</v>
      </c>
      <c r="BA410" s="1" t="s">
        <v>74</v>
      </c>
      <c r="BB410" s="1" t="s">
        <v>74</v>
      </c>
      <c r="BC410" s="1" t="s">
        <v>74</v>
      </c>
      <c r="BD410" s="1">
        <v>803481.0</v>
      </c>
      <c r="BE410" s="1" t="s">
        <v>4323</v>
      </c>
      <c r="BF410" s="2" t="str">
        <f>HYPERLINK("http://dx.doi.org/10.3389/fpsyg.2021.803481","http://dx.doi.org/10.3389/fpsyg.2021.803481")</f>
        <v>http://dx.doi.org/10.3389/fpsyg.2021.803481</v>
      </c>
      <c r="BG410" s="1" t="s">
        <v>74</v>
      </c>
      <c r="BH410" s="1" t="s">
        <v>74</v>
      </c>
      <c r="BI410" s="1" t="s">
        <v>74</v>
      </c>
      <c r="BJ410" s="1" t="s">
        <v>74</v>
      </c>
      <c r="BK410" s="1" t="s">
        <v>74</v>
      </c>
      <c r="BL410" s="1" t="s">
        <v>74</v>
      </c>
      <c r="BM410" s="1" t="s">
        <v>74</v>
      </c>
      <c r="BN410" s="1">
        <v>3.5035376E7</v>
      </c>
      <c r="BO410" s="1" t="s">
        <v>74</v>
      </c>
      <c r="BP410" s="1" t="s">
        <v>74</v>
      </c>
      <c r="BQ410" s="1" t="s">
        <v>74</v>
      </c>
      <c r="BR410" s="1" t="s">
        <v>74</v>
      </c>
      <c r="BS410" s="1" t="s">
        <v>4324</v>
      </c>
      <c r="BT410" s="1" t="str">
        <f>HYPERLINK("https%3A%2F%2Fwww.webofscience.com%2Fwos%2Fwoscc%2Ffull-record%2FWOS:000745702600001","View Full Record in Web of Science")</f>
        <v>View Full Record in Web of Science</v>
      </c>
    </row>
    <row r="411" ht="12.75" customHeight="1">
      <c r="A411" s="1" t="s">
        <v>72</v>
      </c>
      <c r="B411" s="1" t="s">
        <v>4325</v>
      </c>
      <c r="C411" s="1" t="s">
        <v>74</v>
      </c>
      <c r="D411" s="1" t="s">
        <v>74</v>
      </c>
      <c r="E411" s="1" t="s">
        <v>74</v>
      </c>
      <c r="F411" s="1" t="s">
        <v>4326</v>
      </c>
      <c r="G411" s="1" t="s">
        <v>74</v>
      </c>
      <c r="H411" s="1" t="s">
        <v>74</v>
      </c>
      <c r="I411" s="1" t="s">
        <v>4327</v>
      </c>
      <c r="J411" s="1" t="s">
        <v>1842</v>
      </c>
      <c r="K411" s="1" t="s">
        <v>74</v>
      </c>
      <c r="L411" s="1" t="s">
        <v>74</v>
      </c>
      <c r="M411" s="1" t="s">
        <v>74</v>
      </c>
      <c r="N411" s="1" t="s">
        <v>74</v>
      </c>
      <c r="O411" s="1" t="s">
        <v>74</v>
      </c>
      <c r="P411" s="1" t="s">
        <v>74</v>
      </c>
      <c r="Q411" s="1" t="s">
        <v>74</v>
      </c>
      <c r="R411" s="1" t="s">
        <v>74</v>
      </c>
      <c r="S411" s="1" t="s">
        <v>74</v>
      </c>
      <c r="T411" s="1" t="s">
        <v>74</v>
      </c>
      <c r="U411" s="1" t="s">
        <v>74</v>
      </c>
      <c r="V411" s="1" t="s">
        <v>4328</v>
      </c>
      <c r="W411" s="1" t="s">
        <v>74</v>
      </c>
      <c r="X411" s="1" t="s">
        <v>74</v>
      </c>
      <c r="Y411" s="1" t="s">
        <v>74</v>
      </c>
      <c r="Z411" s="1" t="s">
        <v>74</v>
      </c>
      <c r="AA411" s="1" t="s">
        <v>4329</v>
      </c>
      <c r="AB411" s="1" t="s">
        <v>4330</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1846</v>
      </c>
      <c r="AP411" s="1" t="s">
        <v>74</v>
      </c>
      <c r="AQ411" s="1" t="s">
        <v>74</v>
      </c>
      <c r="AR411" s="1" t="s">
        <v>74</v>
      </c>
      <c r="AS411" s="1" t="s">
        <v>74</v>
      </c>
      <c r="AT411" s="1" t="s">
        <v>4331</v>
      </c>
      <c r="AU411" s="1">
        <v>2021.0</v>
      </c>
      <c r="AV411" s="1">
        <v>9.0</v>
      </c>
      <c r="AW411" s="1" t="s">
        <v>74</v>
      </c>
      <c r="AX411" s="1" t="s">
        <v>74</v>
      </c>
      <c r="AY411" s="1" t="s">
        <v>74</v>
      </c>
      <c r="AZ411" s="1" t="s">
        <v>74</v>
      </c>
      <c r="BA411" s="1" t="s">
        <v>74</v>
      </c>
      <c r="BB411" s="1" t="s">
        <v>74</v>
      </c>
      <c r="BC411" s="1" t="s">
        <v>74</v>
      </c>
      <c r="BD411" s="1">
        <v>702731.0</v>
      </c>
      <c r="BE411" s="1" t="s">
        <v>4332</v>
      </c>
      <c r="BF411" s="2" t="str">
        <f>HYPERLINK("http://dx.doi.org/10.3389/fped.2021.702731","http://dx.doi.org/10.3389/fped.2021.702731")</f>
        <v>http://dx.doi.org/10.3389/fped.2021.702731</v>
      </c>
      <c r="BG411" s="1" t="s">
        <v>74</v>
      </c>
      <c r="BH411" s="1" t="s">
        <v>74</v>
      </c>
      <c r="BI411" s="1" t="s">
        <v>74</v>
      </c>
      <c r="BJ411" s="1" t="s">
        <v>74</v>
      </c>
      <c r="BK411" s="1" t="s">
        <v>74</v>
      </c>
      <c r="BL411" s="1" t="s">
        <v>74</v>
      </c>
      <c r="BM411" s="1" t="s">
        <v>74</v>
      </c>
      <c r="BN411" s="1">
        <v>3.4746049E7</v>
      </c>
      <c r="BO411" s="1" t="s">
        <v>74</v>
      </c>
      <c r="BP411" s="1" t="s">
        <v>74</v>
      </c>
      <c r="BQ411" s="1" t="s">
        <v>74</v>
      </c>
      <c r="BR411" s="1" t="s">
        <v>74</v>
      </c>
      <c r="BS411" s="1" t="s">
        <v>4333</v>
      </c>
      <c r="BT411" s="1" t="str">
        <f>HYPERLINK("https%3A%2F%2Fwww.webofscience.com%2Fwos%2Fwoscc%2Ffull-record%2FWOS:000716536200001","View Full Record in Web of Science")</f>
        <v>View Full Record in Web of Science</v>
      </c>
    </row>
    <row r="412" ht="12.75" customHeight="1">
      <c r="A412" s="1" t="s">
        <v>72</v>
      </c>
      <c r="B412" s="1" t="s">
        <v>4334</v>
      </c>
      <c r="C412" s="1" t="s">
        <v>74</v>
      </c>
      <c r="D412" s="1" t="s">
        <v>74</v>
      </c>
      <c r="E412" s="1" t="s">
        <v>74</v>
      </c>
      <c r="F412" s="1" t="s">
        <v>4335</v>
      </c>
      <c r="G412" s="1" t="s">
        <v>74</v>
      </c>
      <c r="H412" s="1" t="s">
        <v>74</v>
      </c>
      <c r="I412" s="1" t="s">
        <v>4336</v>
      </c>
      <c r="J412" s="1" t="s">
        <v>2845</v>
      </c>
      <c r="K412" s="1" t="s">
        <v>74</v>
      </c>
      <c r="L412" s="1" t="s">
        <v>74</v>
      </c>
      <c r="M412" s="1" t="s">
        <v>74</v>
      </c>
      <c r="N412" s="1" t="s">
        <v>74</v>
      </c>
      <c r="O412" s="1" t="s">
        <v>74</v>
      </c>
      <c r="P412" s="1" t="s">
        <v>74</v>
      </c>
      <c r="Q412" s="1" t="s">
        <v>74</v>
      </c>
      <c r="R412" s="1" t="s">
        <v>74</v>
      </c>
      <c r="S412" s="1" t="s">
        <v>74</v>
      </c>
      <c r="T412" s="1" t="s">
        <v>74</v>
      </c>
      <c r="U412" s="1" t="s">
        <v>74</v>
      </c>
      <c r="V412" s="1" t="s">
        <v>4337</v>
      </c>
      <c r="W412" s="1" t="s">
        <v>74</v>
      </c>
      <c r="X412" s="1" t="s">
        <v>74</v>
      </c>
      <c r="Y412" s="1" t="s">
        <v>74</v>
      </c>
      <c r="Z412" s="1" t="s">
        <v>74</v>
      </c>
      <c r="AA412" s="1" t="s">
        <v>4338</v>
      </c>
      <c r="AB412" s="1" t="s">
        <v>4339</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2849</v>
      </c>
      <c r="AP412" s="1" t="s">
        <v>2850</v>
      </c>
      <c r="AQ412" s="1" t="s">
        <v>74</v>
      </c>
      <c r="AR412" s="1" t="s">
        <v>74</v>
      </c>
      <c r="AS412" s="1" t="s">
        <v>74</v>
      </c>
      <c r="AT412" s="1" t="s">
        <v>3264</v>
      </c>
      <c r="AU412" s="1">
        <v>2017.0</v>
      </c>
      <c r="AV412" s="1">
        <v>254.0</v>
      </c>
      <c r="AW412" s="1" t="s">
        <v>74</v>
      </c>
      <c r="AX412" s="1" t="s">
        <v>74</v>
      </c>
      <c r="AY412" s="1" t="s">
        <v>74</v>
      </c>
      <c r="AZ412" s="1" t="s">
        <v>74</v>
      </c>
      <c r="BA412" s="1" t="s">
        <v>74</v>
      </c>
      <c r="BB412" s="1">
        <v>201.0</v>
      </c>
      <c r="BC412" s="1">
        <v>213.0</v>
      </c>
      <c r="BD412" s="1" t="s">
        <v>74</v>
      </c>
      <c r="BE412" s="1" t="s">
        <v>4340</v>
      </c>
      <c r="BF412" s="2" t="str">
        <f>HYPERLINK("http://dx.doi.org/10.1016/j.electacta.2017.09.082","http://dx.doi.org/10.1016/j.electacta.2017.09.082")</f>
        <v>http://dx.doi.org/10.1016/j.electacta.2017.09.082</v>
      </c>
      <c r="BG412" s="1" t="s">
        <v>74</v>
      </c>
      <c r="BH412" s="1" t="s">
        <v>74</v>
      </c>
      <c r="BI412" s="1" t="s">
        <v>74</v>
      </c>
      <c r="BJ412" s="1" t="s">
        <v>74</v>
      </c>
      <c r="BK412" s="1" t="s">
        <v>74</v>
      </c>
      <c r="BL412" s="1" t="s">
        <v>74</v>
      </c>
      <c r="BM412" s="1" t="s">
        <v>74</v>
      </c>
      <c r="BN412" s="1" t="s">
        <v>74</v>
      </c>
      <c r="BO412" s="1" t="s">
        <v>74</v>
      </c>
      <c r="BP412" s="1" t="s">
        <v>74</v>
      </c>
      <c r="BQ412" s="1" t="s">
        <v>74</v>
      </c>
      <c r="BR412" s="1" t="s">
        <v>74</v>
      </c>
      <c r="BS412" s="1" t="s">
        <v>4341</v>
      </c>
      <c r="BT412" s="1" t="str">
        <f>HYPERLINK("https%3A%2F%2Fwww.webofscience.com%2Fwos%2Fwoscc%2Ffull-record%2FWOS:000413239600022","View Full Record in Web of Science")</f>
        <v>View Full Record in Web of Science</v>
      </c>
    </row>
    <row r="413" ht="12.75" customHeight="1">
      <c r="A413" s="1" t="s">
        <v>72</v>
      </c>
      <c r="B413" s="1" t="s">
        <v>4342</v>
      </c>
      <c r="C413" s="1" t="s">
        <v>74</v>
      </c>
      <c r="D413" s="1" t="s">
        <v>74</v>
      </c>
      <c r="E413" s="1" t="s">
        <v>74</v>
      </c>
      <c r="F413" s="1" t="s">
        <v>4343</v>
      </c>
      <c r="G413" s="1" t="s">
        <v>74</v>
      </c>
      <c r="H413" s="1" t="s">
        <v>74</v>
      </c>
      <c r="I413" s="1" t="s">
        <v>4344</v>
      </c>
      <c r="J413" s="1" t="s">
        <v>4345</v>
      </c>
      <c r="K413" s="1" t="s">
        <v>74</v>
      </c>
      <c r="L413" s="1" t="s">
        <v>74</v>
      </c>
      <c r="M413" s="1" t="s">
        <v>74</v>
      </c>
      <c r="N413" s="1" t="s">
        <v>74</v>
      </c>
      <c r="O413" s="1" t="s">
        <v>74</v>
      </c>
      <c r="P413" s="1" t="s">
        <v>74</v>
      </c>
      <c r="Q413" s="1" t="s">
        <v>74</v>
      </c>
      <c r="R413" s="1" t="s">
        <v>74</v>
      </c>
      <c r="S413" s="1" t="s">
        <v>74</v>
      </c>
      <c r="T413" s="1" t="s">
        <v>74</v>
      </c>
      <c r="U413" s="1" t="s">
        <v>74</v>
      </c>
      <c r="V413" s="1" t="s">
        <v>4346</v>
      </c>
      <c r="W413" s="1" t="s">
        <v>74</v>
      </c>
      <c r="X413" s="1" t="s">
        <v>74</v>
      </c>
      <c r="Y413" s="1" t="s">
        <v>74</v>
      </c>
      <c r="Z413" s="1" t="s">
        <v>74</v>
      </c>
      <c r="AA413" s="1" t="s">
        <v>4347</v>
      </c>
      <c r="AB413" s="1" t="s">
        <v>4348</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4349</v>
      </c>
      <c r="AP413" s="1" t="s">
        <v>4350</v>
      </c>
      <c r="AQ413" s="1" t="s">
        <v>74</v>
      </c>
      <c r="AR413" s="1" t="s">
        <v>74</v>
      </c>
      <c r="AS413" s="1" t="s">
        <v>74</v>
      </c>
      <c r="AT413" s="1" t="s">
        <v>346</v>
      </c>
      <c r="AU413" s="1">
        <v>2024.0</v>
      </c>
      <c r="AV413" s="1">
        <v>64.0</v>
      </c>
      <c r="AW413" s="1">
        <v>3.0</v>
      </c>
      <c r="AX413" s="1" t="s">
        <v>74</v>
      </c>
      <c r="AY413" s="1" t="s">
        <v>74</v>
      </c>
      <c r="AZ413" s="1" t="s">
        <v>74</v>
      </c>
      <c r="BA413" s="1" t="s">
        <v>74</v>
      </c>
      <c r="BB413" s="1">
        <v>301.0</v>
      </c>
      <c r="BC413" s="1">
        <v>310.0</v>
      </c>
      <c r="BD413" s="1" t="s">
        <v>74</v>
      </c>
      <c r="BE413" s="1" t="s">
        <v>4351</v>
      </c>
      <c r="BF413" s="2" t="str">
        <f>HYPERLINK("http://dx.doi.org/10.23736/S0022-4707.23.15578-2","http://dx.doi.org/10.23736/S0022-4707.23.15578-2")</f>
        <v>http://dx.doi.org/10.23736/S0022-4707.23.15578-2</v>
      </c>
      <c r="BG413" s="1" t="s">
        <v>74</v>
      </c>
      <c r="BH413" s="1" t="s">
        <v>4352</v>
      </c>
      <c r="BI413" s="1" t="s">
        <v>74</v>
      </c>
      <c r="BJ413" s="1" t="s">
        <v>74</v>
      </c>
      <c r="BK413" s="1" t="s">
        <v>74</v>
      </c>
      <c r="BL413" s="1" t="s">
        <v>74</v>
      </c>
      <c r="BM413" s="1" t="s">
        <v>74</v>
      </c>
      <c r="BN413" s="1">
        <v>3.8261333E7</v>
      </c>
      <c r="BO413" s="1" t="s">
        <v>74</v>
      </c>
      <c r="BP413" s="1" t="s">
        <v>74</v>
      </c>
      <c r="BQ413" s="1" t="s">
        <v>74</v>
      </c>
      <c r="BR413" s="1" t="s">
        <v>74</v>
      </c>
      <c r="BS413" s="1" t="s">
        <v>4353</v>
      </c>
      <c r="BT413" s="1" t="str">
        <f>HYPERLINK("https%3A%2F%2Fwww.webofscience.com%2Fwos%2Fwoscc%2Ffull-record%2FWOS:001165991000001","View Full Record in Web of Science")</f>
        <v>View Full Record in Web of Science</v>
      </c>
    </row>
    <row r="414" ht="12.75" customHeight="1">
      <c r="A414" s="1" t="s">
        <v>72</v>
      </c>
      <c r="B414" s="1" t="s">
        <v>3109</v>
      </c>
      <c r="C414" s="1" t="s">
        <v>74</v>
      </c>
      <c r="D414" s="1" t="s">
        <v>74</v>
      </c>
      <c r="E414" s="1" t="s">
        <v>74</v>
      </c>
      <c r="F414" s="1" t="s">
        <v>3110</v>
      </c>
      <c r="G414" s="1" t="s">
        <v>74</v>
      </c>
      <c r="H414" s="1" t="s">
        <v>74</v>
      </c>
      <c r="I414" s="1" t="s">
        <v>4354</v>
      </c>
      <c r="J414" s="1" t="s">
        <v>3112</v>
      </c>
      <c r="K414" s="1" t="s">
        <v>74</v>
      </c>
      <c r="L414" s="1" t="s">
        <v>74</v>
      </c>
      <c r="M414" s="1" t="s">
        <v>74</v>
      </c>
      <c r="N414" s="1" t="s">
        <v>74</v>
      </c>
      <c r="O414" s="1" t="s">
        <v>74</v>
      </c>
      <c r="P414" s="1" t="s">
        <v>74</v>
      </c>
      <c r="Q414" s="1" t="s">
        <v>74</v>
      </c>
      <c r="R414" s="1" t="s">
        <v>74</v>
      </c>
      <c r="S414" s="1" t="s">
        <v>74</v>
      </c>
      <c r="T414" s="1" t="s">
        <v>74</v>
      </c>
      <c r="U414" s="1" t="s">
        <v>74</v>
      </c>
      <c r="V414" s="1" t="s">
        <v>74</v>
      </c>
      <c r="W414" s="1" t="s">
        <v>74</v>
      </c>
      <c r="X414" s="1" t="s">
        <v>74</v>
      </c>
      <c r="Y414" s="1" t="s">
        <v>74</v>
      </c>
      <c r="Z414" s="1" t="s">
        <v>74</v>
      </c>
      <c r="AA414" s="1" t="s">
        <v>4355</v>
      </c>
      <c r="AB414" s="1" t="s">
        <v>4356</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3116</v>
      </c>
      <c r="AP414" s="1" t="s">
        <v>74</v>
      </c>
      <c r="AQ414" s="1" t="s">
        <v>74</v>
      </c>
      <c r="AR414" s="1" t="s">
        <v>74</v>
      </c>
      <c r="AS414" s="1" t="s">
        <v>74</v>
      </c>
      <c r="AT414" s="1" t="s">
        <v>74</v>
      </c>
      <c r="AU414" s="1">
        <v>2024.0</v>
      </c>
      <c r="AV414" s="1">
        <v>12.0</v>
      </c>
      <c r="AW414" s="1" t="s">
        <v>74</v>
      </c>
      <c r="AX414" s="1" t="s">
        <v>74</v>
      </c>
      <c r="AY414" s="1" t="s">
        <v>74</v>
      </c>
      <c r="AZ414" s="1" t="s">
        <v>74</v>
      </c>
      <c r="BA414" s="1" t="s">
        <v>74</v>
      </c>
      <c r="BB414" s="1" t="s">
        <v>74</v>
      </c>
      <c r="BC414" s="1" t="s">
        <v>74</v>
      </c>
      <c r="BD414" s="1" t="s">
        <v>4357</v>
      </c>
      <c r="BE414" s="1" t="s">
        <v>4358</v>
      </c>
      <c r="BF414" s="2" t="str">
        <f>HYPERLINK("http://dx.doi.org/10.2196/58810","http://dx.doi.org/10.2196/58810")</f>
        <v>http://dx.doi.org/10.2196/58810</v>
      </c>
      <c r="BG414" s="1" t="s">
        <v>74</v>
      </c>
      <c r="BH414" s="1" t="s">
        <v>74</v>
      </c>
      <c r="BI414" s="1" t="s">
        <v>74</v>
      </c>
      <c r="BJ414" s="1" t="s">
        <v>74</v>
      </c>
      <c r="BK414" s="1" t="s">
        <v>74</v>
      </c>
      <c r="BL414" s="1" t="s">
        <v>74</v>
      </c>
      <c r="BM414" s="1" t="s">
        <v>74</v>
      </c>
      <c r="BN414" s="1">
        <v>3.8588531E7</v>
      </c>
      <c r="BO414" s="1" t="s">
        <v>74</v>
      </c>
      <c r="BP414" s="1" t="s">
        <v>74</v>
      </c>
      <c r="BQ414" s="1" t="s">
        <v>74</v>
      </c>
      <c r="BR414" s="1" t="s">
        <v>74</v>
      </c>
      <c r="BS414" s="1" t="s">
        <v>4359</v>
      </c>
      <c r="BT414" s="1" t="str">
        <f>HYPERLINK("https%3A%2F%2Fwww.webofscience.com%2Fwos%2Fwoscc%2Ffull-record%2FWOS:001218140600002","View Full Record in Web of Science")</f>
        <v>View Full Record in Web of Science</v>
      </c>
    </row>
    <row r="415" ht="12.75" customHeight="1">
      <c r="A415" s="1" t="s">
        <v>72</v>
      </c>
      <c r="B415" s="1" t="s">
        <v>4360</v>
      </c>
      <c r="C415" s="1" t="s">
        <v>74</v>
      </c>
      <c r="D415" s="1" t="s">
        <v>74</v>
      </c>
      <c r="E415" s="1" t="s">
        <v>74</v>
      </c>
      <c r="F415" s="1" t="s">
        <v>4361</v>
      </c>
      <c r="G415" s="1" t="s">
        <v>74</v>
      </c>
      <c r="H415" s="1" t="s">
        <v>74</v>
      </c>
      <c r="I415" s="1" t="s">
        <v>4362</v>
      </c>
      <c r="J415" s="1" t="s">
        <v>2319</v>
      </c>
      <c r="K415" s="1" t="s">
        <v>74</v>
      </c>
      <c r="L415" s="1" t="s">
        <v>74</v>
      </c>
      <c r="M415" s="1" t="s">
        <v>74</v>
      </c>
      <c r="N415" s="1" t="s">
        <v>74</v>
      </c>
      <c r="O415" s="1" t="s">
        <v>74</v>
      </c>
      <c r="P415" s="1" t="s">
        <v>74</v>
      </c>
      <c r="Q415" s="1" t="s">
        <v>74</v>
      </c>
      <c r="R415" s="1" t="s">
        <v>74</v>
      </c>
      <c r="S415" s="1" t="s">
        <v>74</v>
      </c>
      <c r="T415" s="1" t="s">
        <v>74</v>
      </c>
      <c r="U415" s="1" t="s">
        <v>74</v>
      </c>
      <c r="V415" s="1" t="s">
        <v>4363</v>
      </c>
      <c r="W415" s="1" t="s">
        <v>74</v>
      </c>
      <c r="X415" s="1" t="s">
        <v>74</v>
      </c>
      <c r="Y415" s="1" t="s">
        <v>74</v>
      </c>
      <c r="Z415" s="1" t="s">
        <v>74</v>
      </c>
      <c r="AA415" s="1" t="s">
        <v>4364</v>
      </c>
      <c r="AB415" s="1" t="s">
        <v>74</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2323</v>
      </c>
      <c r="AP415" s="1" t="s">
        <v>2324</v>
      </c>
      <c r="AQ415" s="1" t="s">
        <v>74</v>
      </c>
      <c r="AR415" s="1" t="s">
        <v>74</v>
      </c>
      <c r="AS415" s="1" t="s">
        <v>74</v>
      </c>
      <c r="AT415" s="1" t="s">
        <v>334</v>
      </c>
      <c r="AU415" s="1">
        <v>2023.0</v>
      </c>
      <c r="AV415" s="1">
        <v>156.0</v>
      </c>
      <c r="AW415" s="1" t="s">
        <v>74</v>
      </c>
      <c r="AX415" s="1" t="s">
        <v>74</v>
      </c>
      <c r="AY415" s="1" t="s">
        <v>74</v>
      </c>
      <c r="AZ415" s="1" t="s">
        <v>74</v>
      </c>
      <c r="BA415" s="1" t="s">
        <v>74</v>
      </c>
      <c r="BB415" s="1" t="s">
        <v>74</v>
      </c>
      <c r="BC415" s="1" t="s">
        <v>74</v>
      </c>
      <c r="BD415" s="1">
        <v>111189.0</v>
      </c>
      <c r="BE415" s="1" t="s">
        <v>4365</v>
      </c>
      <c r="BF415" s="2" t="str">
        <f>HYPERLINK("http://dx.doi.org/10.1016/j.inoche.2023.111189","http://dx.doi.org/10.1016/j.inoche.2023.111189")</f>
        <v>http://dx.doi.org/10.1016/j.inoche.2023.111189</v>
      </c>
      <c r="BG415" s="1" t="s">
        <v>74</v>
      </c>
      <c r="BH415" s="1" t="s">
        <v>2995</v>
      </c>
      <c r="BI415" s="1" t="s">
        <v>74</v>
      </c>
      <c r="BJ415" s="1" t="s">
        <v>74</v>
      </c>
      <c r="BK415" s="1" t="s">
        <v>74</v>
      </c>
      <c r="BL415" s="1" t="s">
        <v>74</v>
      </c>
      <c r="BM415" s="1" t="s">
        <v>74</v>
      </c>
      <c r="BN415" s="1" t="s">
        <v>74</v>
      </c>
      <c r="BO415" s="1" t="s">
        <v>74</v>
      </c>
      <c r="BP415" s="1" t="s">
        <v>74</v>
      </c>
      <c r="BQ415" s="1" t="s">
        <v>74</v>
      </c>
      <c r="BR415" s="1" t="s">
        <v>74</v>
      </c>
      <c r="BS415" s="1" t="s">
        <v>4366</v>
      </c>
      <c r="BT415" s="1" t="str">
        <f>HYPERLINK("https%3A%2F%2Fwww.webofscience.com%2Fwos%2Fwoscc%2Ffull-record%2FWOS:001063535800001","View Full Record in Web of Science")</f>
        <v>View Full Record in Web of Science</v>
      </c>
    </row>
    <row r="416" ht="12.75" customHeight="1">
      <c r="A416" s="1" t="s">
        <v>72</v>
      </c>
      <c r="B416" s="1" t="s">
        <v>4367</v>
      </c>
      <c r="C416" s="1" t="s">
        <v>74</v>
      </c>
      <c r="D416" s="1" t="s">
        <v>74</v>
      </c>
      <c r="E416" s="1" t="s">
        <v>74</v>
      </c>
      <c r="F416" s="1" t="s">
        <v>4368</v>
      </c>
      <c r="G416" s="1" t="s">
        <v>74</v>
      </c>
      <c r="H416" s="1" t="s">
        <v>74</v>
      </c>
      <c r="I416" s="1" t="s">
        <v>4369</v>
      </c>
      <c r="J416" s="1" t="s">
        <v>3102</v>
      </c>
      <c r="K416" s="1" t="s">
        <v>74</v>
      </c>
      <c r="L416" s="1" t="s">
        <v>74</v>
      </c>
      <c r="M416" s="1" t="s">
        <v>74</v>
      </c>
      <c r="N416" s="1" t="s">
        <v>74</v>
      </c>
      <c r="O416" s="1" t="s">
        <v>74</v>
      </c>
      <c r="P416" s="1" t="s">
        <v>74</v>
      </c>
      <c r="Q416" s="1" t="s">
        <v>74</v>
      </c>
      <c r="R416" s="1" t="s">
        <v>74</v>
      </c>
      <c r="S416" s="1" t="s">
        <v>74</v>
      </c>
      <c r="T416" s="1" t="s">
        <v>74</v>
      </c>
      <c r="U416" s="1" t="s">
        <v>74</v>
      </c>
      <c r="V416" s="1" t="s">
        <v>4370</v>
      </c>
      <c r="W416" s="1" t="s">
        <v>74</v>
      </c>
      <c r="X416" s="1" t="s">
        <v>74</v>
      </c>
      <c r="Y416" s="1" t="s">
        <v>74</v>
      </c>
      <c r="Z416" s="1" t="s">
        <v>74</v>
      </c>
      <c r="AA416" s="1" t="s">
        <v>4371</v>
      </c>
      <c r="AB416" s="1" t="s">
        <v>4372</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74</v>
      </c>
      <c r="AP416" s="1" t="s">
        <v>3106</v>
      </c>
      <c r="AQ416" s="1" t="s">
        <v>74</v>
      </c>
      <c r="AR416" s="1" t="s">
        <v>74</v>
      </c>
      <c r="AS416" s="1" t="s">
        <v>74</v>
      </c>
      <c r="AT416" s="1" t="s">
        <v>94</v>
      </c>
      <c r="AU416" s="1">
        <v>2021.0</v>
      </c>
      <c r="AV416" s="1">
        <v>11.0</v>
      </c>
      <c r="AW416" s="1">
        <v>23.0</v>
      </c>
      <c r="AX416" s="1" t="s">
        <v>74</v>
      </c>
      <c r="AY416" s="1" t="s">
        <v>74</v>
      </c>
      <c r="AZ416" s="1" t="s">
        <v>74</v>
      </c>
      <c r="BA416" s="1" t="s">
        <v>74</v>
      </c>
      <c r="BB416" s="1" t="s">
        <v>74</v>
      </c>
      <c r="BC416" s="1" t="s">
        <v>74</v>
      </c>
      <c r="BD416" s="1">
        <v>11337.0</v>
      </c>
      <c r="BE416" s="1" t="s">
        <v>4373</v>
      </c>
      <c r="BF416" s="2" t="str">
        <f>HYPERLINK("http://dx.doi.org/10.3390/app112311337","http://dx.doi.org/10.3390/app112311337")</f>
        <v>http://dx.doi.org/10.3390/app112311337</v>
      </c>
      <c r="BG416" s="1" t="s">
        <v>74</v>
      </c>
      <c r="BH416" s="1" t="s">
        <v>74</v>
      </c>
      <c r="BI416" s="1" t="s">
        <v>74</v>
      </c>
      <c r="BJ416" s="1" t="s">
        <v>74</v>
      </c>
      <c r="BK416" s="1" t="s">
        <v>74</v>
      </c>
      <c r="BL416" s="1" t="s">
        <v>74</v>
      </c>
      <c r="BM416" s="1" t="s">
        <v>74</v>
      </c>
      <c r="BN416" s="1" t="s">
        <v>74</v>
      </c>
      <c r="BO416" s="1" t="s">
        <v>74</v>
      </c>
      <c r="BP416" s="1" t="s">
        <v>74</v>
      </c>
      <c r="BQ416" s="1" t="s">
        <v>74</v>
      </c>
      <c r="BR416" s="1" t="s">
        <v>74</v>
      </c>
      <c r="BS416" s="1" t="s">
        <v>4374</v>
      </c>
      <c r="BT416" s="1" t="str">
        <f>HYPERLINK("https%3A%2F%2Fwww.webofscience.com%2Fwos%2Fwoscc%2Ffull-record%2FWOS:000735646900001","View Full Record in Web of Science")</f>
        <v>View Full Record in Web of Science</v>
      </c>
    </row>
    <row r="417" ht="12.75" customHeight="1">
      <c r="A417" s="1" t="s">
        <v>72</v>
      </c>
      <c r="B417" s="1" t="s">
        <v>4375</v>
      </c>
      <c r="C417" s="1" t="s">
        <v>74</v>
      </c>
      <c r="D417" s="1" t="s">
        <v>74</v>
      </c>
      <c r="E417" s="1" t="s">
        <v>74</v>
      </c>
      <c r="F417" s="1" t="s">
        <v>4376</v>
      </c>
      <c r="G417" s="1" t="s">
        <v>74</v>
      </c>
      <c r="H417" s="1" t="s">
        <v>74</v>
      </c>
      <c r="I417" s="1" t="s">
        <v>4377</v>
      </c>
      <c r="J417" s="1" t="s">
        <v>4378</v>
      </c>
      <c r="K417" s="1" t="s">
        <v>74</v>
      </c>
      <c r="L417" s="1" t="s">
        <v>74</v>
      </c>
      <c r="M417" s="1" t="s">
        <v>74</v>
      </c>
      <c r="N417" s="1" t="s">
        <v>74</v>
      </c>
      <c r="O417" s="1" t="s">
        <v>74</v>
      </c>
      <c r="P417" s="1" t="s">
        <v>74</v>
      </c>
      <c r="Q417" s="1" t="s">
        <v>74</v>
      </c>
      <c r="R417" s="1" t="s">
        <v>74</v>
      </c>
      <c r="S417" s="1" t="s">
        <v>74</v>
      </c>
      <c r="T417" s="1" t="s">
        <v>74</v>
      </c>
      <c r="U417" s="1" t="s">
        <v>74</v>
      </c>
      <c r="V417" s="1" t="s">
        <v>4379</v>
      </c>
      <c r="W417" s="1" t="s">
        <v>74</v>
      </c>
      <c r="X417" s="1" t="s">
        <v>74</v>
      </c>
      <c r="Y417" s="1" t="s">
        <v>74</v>
      </c>
      <c r="Z417" s="1" t="s">
        <v>74</v>
      </c>
      <c r="AA417" s="1" t="s">
        <v>4380</v>
      </c>
      <c r="AB417" s="1" t="s">
        <v>4381</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4382</v>
      </c>
      <c r="AP417" s="1" t="s">
        <v>4383</v>
      </c>
      <c r="AQ417" s="1" t="s">
        <v>74</v>
      </c>
      <c r="AR417" s="1" t="s">
        <v>74</v>
      </c>
      <c r="AS417" s="1" t="s">
        <v>74</v>
      </c>
      <c r="AT417" s="1" t="s">
        <v>447</v>
      </c>
      <c r="AU417" s="1">
        <v>2012.0</v>
      </c>
      <c r="AV417" s="1">
        <v>80.0</v>
      </c>
      <c r="AW417" s="1">
        <v>8.0</v>
      </c>
      <c r="AX417" s="1" t="s">
        <v>74</v>
      </c>
      <c r="AY417" s="1" t="s">
        <v>74</v>
      </c>
      <c r="AZ417" s="1" t="s">
        <v>74</v>
      </c>
      <c r="BA417" s="1" t="s">
        <v>74</v>
      </c>
      <c r="BB417" s="1">
        <v>2791.0</v>
      </c>
      <c r="BC417" s="1">
        <v>2801.0</v>
      </c>
      <c r="BD417" s="1" t="s">
        <v>74</v>
      </c>
      <c r="BE417" s="1" t="s">
        <v>4384</v>
      </c>
      <c r="BF417" s="2" t="str">
        <f>HYPERLINK("http://dx.doi.org/10.1128/IAI.00263-12","http://dx.doi.org/10.1128/IAI.00263-12")</f>
        <v>http://dx.doi.org/10.1128/IAI.00263-12</v>
      </c>
      <c r="BG417" s="1" t="s">
        <v>74</v>
      </c>
      <c r="BH417" s="1" t="s">
        <v>74</v>
      </c>
      <c r="BI417" s="1" t="s">
        <v>74</v>
      </c>
      <c r="BJ417" s="1" t="s">
        <v>74</v>
      </c>
      <c r="BK417" s="1" t="s">
        <v>74</v>
      </c>
      <c r="BL417" s="1" t="s">
        <v>74</v>
      </c>
      <c r="BM417" s="1" t="s">
        <v>74</v>
      </c>
      <c r="BN417" s="1">
        <v>2.2645287E7</v>
      </c>
      <c r="BO417" s="1" t="s">
        <v>74</v>
      </c>
      <c r="BP417" s="1" t="s">
        <v>74</v>
      </c>
      <c r="BQ417" s="1" t="s">
        <v>74</v>
      </c>
      <c r="BR417" s="1" t="s">
        <v>74</v>
      </c>
      <c r="BS417" s="1" t="s">
        <v>4385</v>
      </c>
      <c r="BT417" s="1" t="str">
        <f>HYPERLINK("https%3A%2F%2Fwww.webofscience.com%2Fwos%2Fwoscc%2Ffull-record%2FWOS:000306677300020","View Full Record in Web of Science")</f>
        <v>View Full Record in Web of Science</v>
      </c>
    </row>
    <row r="418" ht="12.75" customHeight="1">
      <c r="A418" s="1" t="s">
        <v>72</v>
      </c>
      <c r="B418" s="1" t="s">
        <v>4386</v>
      </c>
      <c r="C418" s="1" t="s">
        <v>74</v>
      </c>
      <c r="D418" s="1" t="s">
        <v>74</v>
      </c>
      <c r="E418" s="1" t="s">
        <v>74</v>
      </c>
      <c r="F418" s="1" t="s">
        <v>4387</v>
      </c>
      <c r="G418" s="1" t="s">
        <v>74</v>
      </c>
      <c r="H418" s="1" t="s">
        <v>74</v>
      </c>
      <c r="I418" s="1" t="s">
        <v>4388</v>
      </c>
      <c r="J418" s="1" t="s">
        <v>4389</v>
      </c>
      <c r="K418" s="1" t="s">
        <v>74</v>
      </c>
      <c r="L418" s="1" t="s">
        <v>74</v>
      </c>
      <c r="M418" s="1" t="s">
        <v>74</v>
      </c>
      <c r="N418" s="1" t="s">
        <v>74</v>
      </c>
      <c r="O418" s="1" t="s">
        <v>74</v>
      </c>
      <c r="P418" s="1" t="s">
        <v>74</v>
      </c>
      <c r="Q418" s="1" t="s">
        <v>74</v>
      </c>
      <c r="R418" s="1" t="s">
        <v>74</v>
      </c>
      <c r="S418" s="1" t="s">
        <v>74</v>
      </c>
      <c r="T418" s="1" t="s">
        <v>74</v>
      </c>
      <c r="U418" s="1" t="s">
        <v>74</v>
      </c>
      <c r="V418" s="1" t="s">
        <v>4390</v>
      </c>
      <c r="W418" s="1" t="s">
        <v>74</v>
      </c>
      <c r="X418" s="1" t="s">
        <v>74</v>
      </c>
      <c r="Y418" s="1" t="s">
        <v>74</v>
      </c>
      <c r="Z418" s="1" t="s">
        <v>74</v>
      </c>
      <c r="AA418" s="1" t="s">
        <v>4391</v>
      </c>
      <c r="AB418" s="1" t="s">
        <v>74</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4392</v>
      </c>
      <c r="AP418" s="1" t="s">
        <v>74</v>
      </c>
      <c r="AQ418" s="1" t="s">
        <v>74</v>
      </c>
      <c r="AR418" s="1" t="s">
        <v>74</v>
      </c>
      <c r="AS418" s="1" t="s">
        <v>74</v>
      </c>
      <c r="AT418" s="1" t="s">
        <v>74</v>
      </c>
      <c r="AU418" s="1">
        <v>2024.0</v>
      </c>
      <c r="AV418" s="1">
        <v>13.0</v>
      </c>
      <c r="AW418" s="1" t="s">
        <v>74</v>
      </c>
      <c r="AX418" s="1" t="s">
        <v>74</v>
      </c>
      <c r="AY418" s="1">
        <v>3.0</v>
      </c>
      <c r="AZ418" s="1" t="s">
        <v>74</v>
      </c>
      <c r="BA418" s="1" t="s">
        <v>74</v>
      </c>
      <c r="BB418" s="1" t="s">
        <v>74</v>
      </c>
      <c r="BC418" s="1" t="s">
        <v>74</v>
      </c>
      <c r="BD418" s="1">
        <v>4.0</v>
      </c>
      <c r="BE418" s="1" t="s">
        <v>74</v>
      </c>
      <c r="BF418" s="1" t="s">
        <v>74</v>
      </c>
      <c r="BG418" s="1" t="s">
        <v>74</v>
      </c>
      <c r="BH418" s="1" t="s">
        <v>74</v>
      </c>
      <c r="BI418" s="1" t="s">
        <v>74</v>
      </c>
      <c r="BJ418" s="1" t="s">
        <v>74</v>
      </c>
      <c r="BK418" s="1" t="s">
        <v>74</v>
      </c>
      <c r="BL418" s="1" t="s">
        <v>74</v>
      </c>
      <c r="BM418" s="1" t="s">
        <v>74</v>
      </c>
      <c r="BN418" s="1" t="s">
        <v>74</v>
      </c>
      <c r="BO418" s="1" t="s">
        <v>74</v>
      </c>
      <c r="BP418" s="1" t="s">
        <v>74</v>
      </c>
      <c r="BQ418" s="1" t="s">
        <v>74</v>
      </c>
      <c r="BR418" s="1" t="s">
        <v>74</v>
      </c>
      <c r="BS418" s="1" t="s">
        <v>4393</v>
      </c>
      <c r="BT418" s="1" t="str">
        <f>HYPERLINK("https%3A%2F%2Fwww.webofscience.com%2Fwos%2Fwoscc%2Ffull-record%2FWOS:001360797000008","View Full Record in Web of Science")</f>
        <v>View Full Record in Web of Science</v>
      </c>
    </row>
    <row r="419" ht="12.75" customHeight="1">
      <c r="A419" s="1" t="s">
        <v>72</v>
      </c>
      <c r="B419" s="1" t="s">
        <v>4394</v>
      </c>
      <c r="C419" s="1" t="s">
        <v>74</v>
      </c>
      <c r="D419" s="1" t="s">
        <v>74</v>
      </c>
      <c r="E419" s="1" t="s">
        <v>74</v>
      </c>
      <c r="F419" s="1" t="s">
        <v>4395</v>
      </c>
      <c r="G419" s="1" t="s">
        <v>74</v>
      </c>
      <c r="H419" s="1" t="s">
        <v>74</v>
      </c>
      <c r="I419" s="1" t="s">
        <v>4396</v>
      </c>
      <c r="J419" s="1" t="s">
        <v>1216</v>
      </c>
      <c r="K419" s="1" t="s">
        <v>74</v>
      </c>
      <c r="L419" s="1" t="s">
        <v>74</v>
      </c>
      <c r="M419" s="1" t="s">
        <v>74</v>
      </c>
      <c r="N419" s="1" t="s">
        <v>74</v>
      </c>
      <c r="O419" s="1" t="s">
        <v>74</v>
      </c>
      <c r="P419" s="1" t="s">
        <v>74</v>
      </c>
      <c r="Q419" s="1" t="s">
        <v>74</v>
      </c>
      <c r="R419" s="1" t="s">
        <v>74</v>
      </c>
      <c r="S419" s="1" t="s">
        <v>74</v>
      </c>
      <c r="T419" s="1" t="s">
        <v>74</v>
      </c>
      <c r="U419" s="1" t="s">
        <v>74</v>
      </c>
      <c r="V419" s="1" t="s">
        <v>4397</v>
      </c>
      <c r="W419" s="1" t="s">
        <v>74</v>
      </c>
      <c r="X419" s="1" t="s">
        <v>74</v>
      </c>
      <c r="Y419" s="1" t="s">
        <v>74</v>
      </c>
      <c r="Z419" s="1" t="s">
        <v>74</v>
      </c>
      <c r="AA419" s="1" t="s">
        <v>4398</v>
      </c>
      <c r="AB419" s="1" t="s">
        <v>4399</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1220</v>
      </c>
      <c r="AP419" s="1" t="s">
        <v>74</v>
      </c>
      <c r="AQ419" s="1" t="s">
        <v>74</v>
      </c>
      <c r="AR419" s="1" t="s">
        <v>74</v>
      </c>
      <c r="AS419" s="1" t="s">
        <v>74</v>
      </c>
      <c r="AT419" s="1" t="s">
        <v>264</v>
      </c>
      <c r="AU419" s="1">
        <v>2022.0</v>
      </c>
      <c r="AV419" s="1">
        <v>12.0</v>
      </c>
      <c r="AW419" s="1">
        <v>2.0</v>
      </c>
      <c r="AX419" s="1" t="s">
        <v>74</v>
      </c>
      <c r="AY419" s="1" t="s">
        <v>74</v>
      </c>
      <c r="AZ419" s="1" t="s">
        <v>74</v>
      </c>
      <c r="BA419" s="1" t="s">
        <v>74</v>
      </c>
      <c r="BB419" s="1" t="s">
        <v>74</v>
      </c>
      <c r="BC419" s="1" t="s">
        <v>74</v>
      </c>
      <c r="BD419" s="1">
        <v>179.0</v>
      </c>
      <c r="BE419" s="1" t="s">
        <v>4400</v>
      </c>
      <c r="BF419" s="2" t="str">
        <f>HYPERLINK("http://dx.doi.org/10.3390/ani12020179","http://dx.doi.org/10.3390/ani12020179")</f>
        <v>http://dx.doi.org/10.3390/ani12020179</v>
      </c>
      <c r="BG419" s="1" t="s">
        <v>74</v>
      </c>
      <c r="BH419" s="1" t="s">
        <v>74</v>
      </c>
      <c r="BI419" s="1" t="s">
        <v>74</v>
      </c>
      <c r="BJ419" s="1" t="s">
        <v>74</v>
      </c>
      <c r="BK419" s="1" t="s">
        <v>74</v>
      </c>
      <c r="BL419" s="1" t="s">
        <v>74</v>
      </c>
      <c r="BM419" s="1" t="s">
        <v>74</v>
      </c>
      <c r="BN419" s="1">
        <v>3.5049801E7</v>
      </c>
      <c r="BO419" s="1" t="s">
        <v>74</v>
      </c>
      <c r="BP419" s="1" t="s">
        <v>74</v>
      </c>
      <c r="BQ419" s="1" t="s">
        <v>74</v>
      </c>
      <c r="BR419" s="1" t="s">
        <v>74</v>
      </c>
      <c r="BS419" s="1" t="s">
        <v>4401</v>
      </c>
      <c r="BT419" s="1" t="str">
        <f>HYPERLINK("https%3A%2F%2Fwww.webofscience.com%2Fwos%2Fwoscc%2Ffull-record%2FWOS:000757965400001","View Full Record in Web of Science")</f>
        <v>View Full Record in Web of Science</v>
      </c>
    </row>
    <row r="420" ht="12.75" customHeight="1">
      <c r="A420" s="1" t="s">
        <v>72</v>
      </c>
      <c r="B420" s="1" t="s">
        <v>4402</v>
      </c>
      <c r="C420" s="1" t="s">
        <v>74</v>
      </c>
      <c r="D420" s="1" t="s">
        <v>74</v>
      </c>
      <c r="E420" s="1" t="s">
        <v>74</v>
      </c>
      <c r="F420" s="1" t="s">
        <v>4403</v>
      </c>
      <c r="G420" s="1" t="s">
        <v>74</v>
      </c>
      <c r="H420" s="1" t="s">
        <v>74</v>
      </c>
      <c r="I420" s="1" t="s">
        <v>4404</v>
      </c>
      <c r="J420" s="1" t="s">
        <v>246</v>
      </c>
      <c r="K420" s="1" t="s">
        <v>74</v>
      </c>
      <c r="L420" s="1" t="s">
        <v>74</v>
      </c>
      <c r="M420" s="1" t="s">
        <v>74</v>
      </c>
      <c r="N420" s="1" t="s">
        <v>74</v>
      </c>
      <c r="O420" s="1" t="s">
        <v>74</v>
      </c>
      <c r="P420" s="1" t="s">
        <v>74</v>
      </c>
      <c r="Q420" s="1" t="s">
        <v>74</v>
      </c>
      <c r="R420" s="1" t="s">
        <v>74</v>
      </c>
      <c r="S420" s="1" t="s">
        <v>74</v>
      </c>
      <c r="T420" s="1" t="s">
        <v>74</v>
      </c>
      <c r="U420" s="1" t="s">
        <v>74</v>
      </c>
      <c r="V420" s="1" t="s">
        <v>4405</v>
      </c>
      <c r="W420" s="1" t="s">
        <v>74</v>
      </c>
      <c r="X420" s="1" t="s">
        <v>74</v>
      </c>
      <c r="Y420" s="1" t="s">
        <v>74</v>
      </c>
      <c r="Z420" s="1" t="s">
        <v>74</v>
      </c>
      <c r="AA420" s="1" t="s">
        <v>4406</v>
      </c>
      <c r="AB420" s="1" t="s">
        <v>4407</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250</v>
      </c>
      <c r="AP420" s="1" t="s">
        <v>251</v>
      </c>
      <c r="AQ420" s="1" t="s">
        <v>74</v>
      </c>
      <c r="AR420" s="1" t="s">
        <v>74</v>
      </c>
      <c r="AS420" s="1" t="s">
        <v>74</v>
      </c>
      <c r="AT420" s="1" t="s">
        <v>141</v>
      </c>
      <c r="AU420" s="1">
        <v>2018.0</v>
      </c>
      <c r="AV420" s="1">
        <v>28.0</v>
      </c>
      <c r="AW420" s="1">
        <v>9.0</v>
      </c>
      <c r="AX420" s="1" t="s">
        <v>74</v>
      </c>
      <c r="AY420" s="1" t="s">
        <v>74</v>
      </c>
      <c r="AZ420" s="1" t="s">
        <v>74</v>
      </c>
      <c r="BA420" s="1" t="s">
        <v>74</v>
      </c>
      <c r="BB420" s="1">
        <v>892.0</v>
      </c>
      <c r="BC420" s="1">
        <v>899.0</v>
      </c>
      <c r="BD420" s="1" t="s">
        <v>74</v>
      </c>
      <c r="BE420" s="1" t="s">
        <v>4408</v>
      </c>
      <c r="BF420" s="2" t="str">
        <f>HYPERLINK("http://dx.doi.org/10.1016/j.numecd.2018.05.012","http://dx.doi.org/10.1016/j.numecd.2018.05.012")</f>
        <v>http://dx.doi.org/10.1016/j.numecd.2018.05.012</v>
      </c>
      <c r="BG420" s="1" t="s">
        <v>74</v>
      </c>
      <c r="BH420" s="1" t="s">
        <v>74</v>
      </c>
      <c r="BI420" s="1" t="s">
        <v>74</v>
      </c>
      <c r="BJ420" s="1" t="s">
        <v>74</v>
      </c>
      <c r="BK420" s="1" t="s">
        <v>74</v>
      </c>
      <c r="BL420" s="1" t="s">
        <v>74</v>
      </c>
      <c r="BM420" s="1" t="s">
        <v>74</v>
      </c>
      <c r="BN420" s="1">
        <v>3.0111494E7</v>
      </c>
      <c r="BO420" s="1" t="s">
        <v>74</v>
      </c>
      <c r="BP420" s="1" t="s">
        <v>74</v>
      </c>
      <c r="BQ420" s="1" t="s">
        <v>74</v>
      </c>
      <c r="BR420" s="1" t="s">
        <v>74</v>
      </c>
      <c r="BS420" s="1" t="s">
        <v>4409</v>
      </c>
      <c r="BT420" s="1" t="str">
        <f>HYPERLINK("https%3A%2F%2Fwww.webofscience.com%2Fwos%2Fwoscc%2Ffull-record%2FWOS:000441283600005","View Full Record in Web of Science")</f>
        <v>View Full Record in Web of Science</v>
      </c>
    </row>
    <row r="421" ht="12.75" customHeight="1">
      <c r="A421" s="1" t="s">
        <v>72</v>
      </c>
      <c r="B421" s="1" t="s">
        <v>4410</v>
      </c>
      <c r="C421" s="1" t="s">
        <v>74</v>
      </c>
      <c r="D421" s="1" t="s">
        <v>74</v>
      </c>
      <c r="E421" s="1" t="s">
        <v>74</v>
      </c>
      <c r="F421" s="1" t="s">
        <v>4411</v>
      </c>
      <c r="G421" s="1" t="s">
        <v>74</v>
      </c>
      <c r="H421" s="1" t="s">
        <v>74</v>
      </c>
      <c r="I421" s="1" t="s">
        <v>4412</v>
      </c>
      <c r="J421" s="1" t="s">
        <v>4413</v>
      </c>
      <c r="K421" s="1" t="s">
        <v>74</v>
      </c>
      <c r="L421" s="1" t="s">
        <v>74</v>
      </c>
      <c r="M421" s="1" t="s">
        <v>74</v>
      </c>
      <c r="N421" s="1" t="s">
        <v>74</v>
      </c>
      <c r="O421" s="1" t="s">
        <v>74</v>
      </c>
      <c r="P421" s="1" t="s">
        <v>74</v>
      </c>
      <c r="Q421" s="1" t="s">
        <v>74</v>
      </c>
      <c r="R421" s="1" t="s">
        <v>74</v>
      </c>
      <c r="S421" s="1" t="s">
        <v>74</v>
      </c>
      <c r="T421" s="1" t="s">
        <v>74</v>
      </c>
      <c r="U421" s="1" t="s">
        <v>74</v>
      </c>
      <c r="V421" s="1" t="s">
        <v>4414</v>
      </c>
      <c r="W421" s="1" t="s">
        <v>74</v>
      </c>
      <c r="X421" s="1" t="s">
        <v>74</v>
      </c>
      <c r="Y421" s="1" t="s">
        <v>74</v>
      </c>
      <c r="Z421" s="1" t="s">
        <v>74</v>
      </c>
      <c r="AA421" s="1" t="s">
        <v>4415</v>
      </c>
      <c r="AB421" s="1" t="s">
        <v>4416</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4417</v>
      </c>
      <c r="AP421" s="1" t="s">
        <v>4418</v>
      </c>
      <c r="AQ421" s="1" t="s">
        <v>74</v>
      </c>
      <c r="AR421" s="1" t="s">
        <v>74</v>
      </c>
      <c r="AS421" s="1" t="s">
        <v>74</v>
      </c>
      <c r="AT421" s="1" t="s">
        <v>141</v>
      </c>
      <c r="AU421" s="1">
        <v>2018.0</v>
      </c>
      <c r="AV421" s="1">
        <v>120.0</v>
      </c>
      <c r="AW421" s="1">
        <v>3.0</v>
      </c>
      <c r="AX421" s="1" t="s">
        <v>74</v>
      </c>
      <c r="AY421" s="1" t="s">
        <v>74</v>
      </c>
      <c r="AZ421" s="1" t="s">
        <v>74</v>
      </c>
      <c r="BA421" s="1" t="s">
        <v>74</v>
      </c>
      <c r="BB421" s="1">
        <v>960.0</v>
      </c>
      <c r="BC421" s="1">
        <v>972.0</v>
      </c>
      <c r="BD421" s="1" t="s">
        <v>74</v>
      </c>
      <c r="BE421" s="1" t="s">
        <v>4419</v>
      </c>
      <c r="BF421" s="2" t="str">
        <f>HYPERLINK("http://dx.doi.org/10.1152/jn.00088.2018","http://dx.doi.org/10.1152/jn.00088.2018")</f>
        <v>http://dx.doi.org/10.1152/jn.00088.2018</v>
      </c>
      <c r="BG421" s="1" t="s">
        <v>74</v>
      </c>
      <c r="BH421" s="1" t="s">
        <v>74</v>
      </c>
      <c r="BI421" s="1" t="s">
        <v>74</v>
      </c>
      <c r="BJ421" s="1" t="s">
        <v>74</v>
      </c>
      <c r="BK421" s="1" t="s">
        <v>74</v>
      </c>
      <c r="BL421" s="1" t="s">
        <v>74</v>
      </c>
      <c r="BM421" s="1" t="s">
        <v>74</v>
      </c>
      <c r="BN421" s="1">
        <v>2.9766764E7</v>
      </c>
      <c r="BO421" s="1" t="s">
        <v>74</v>
      </c>
      <c r="BP421" s="1" t="s">
        <v>74</v>
      </c>
      <c r="BQ421" s="1" t="s">
        <v>74</v>
      </c>
      <c r="BR421" s="1" t="s">
        <v>74</v>
      </c>
      <c r="BS421" s="1" t="s">
        <v>4420</v>
      </c>
      <c r="BT421" s="1" t="str">
        <f>HYPERLINK("https%3A%2F%2Fwww.webofscience.com%2Fwos%2Fwoscc%2Ffull-record%2FWOS:000444097100009","View Full Record in Web of Science")</f>
        <v>View Full Record in Web of Science</v>
      </c>
    </row>
    <row r="422" ht="12.75" customHeight="1">
      <c r="A422" s="1" t="s">
        <v>72</v>
      </c>
      <c r="B422" s="1" t="s">
        <v>4421</v>
      </c>
      <c r="C422" s="1" t="s">
        <v>74</v>
      </c>
      <c r="D422" s="1" t="s">
        <v>74</v>
      </c>
      <c r="E422" s="1" t="s">
        <v>74</v>
      </c>
      <c r="F422" s="1" t="s">
        <v>4422</v>
      </c>
      <c r="G422" s="1" t="s">
        <v>74</v>
      </c>
      <c r="H422" s="1" t="s">
        <v>74</v>
      </c>
      <c r="I422" s="1" t="s">
        <v>4423</v>
      </c>
      <c r="J422" s="1" t="s">
        <v>1550</v>
      </c>
      <c r="K422" s="1" t="s">
        <v>74</v>
      </c>
      <c r="L422" s="1" t="s">
        <v>74</v>
      </c>
      <c r="M422" s="1" t="s">
        <v>74</v>
      </c>
      <c r="N422" s="1" t="s">
        <v>74</v>
      </c>
      <c r="O422" s="1" t="s">
        <v>74</v>
      </c>
      <c r="P422" s="1" t="s">
        <v>74</v>
      </c>
      <c r="Q422" s="1" t="s">
        <v>74</v>
      </c>
      <c r="R422" s="1" t="s">
        <v>74</v>
      </c>
      <c r="S422" s="1" t="s">
        <v>74</v>
      </c>
      <c r="T422" s="1" t="s">
        <v>74</v>
      </c>
      <c r="U422" s="1" t="s">
        <v>74</v>
      </c>
      <c r="V422" s="1" t="s">
        <v>4424</v>
      </c>
      <c r="W422" s="1" t="s">
        <v>74</v>
      </c>
      <c r="X422" s="1" t="s">
        <v>74</v>
      </c>
      <c r="Y422" s="1" t="s">
        <v>74</v>
      </c>
      <c r="Z422" s="1" t="s">
        <v>74</v>
      </c>
      <c r="AA422" s="1" t="s">
        <v>4425</v>
      </c>
      <c r="AB422" s="1" t="s">
        <v>4426</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1554</v>
      </c>
      <c r="AP422" s="1" t="s">
        <v>3038</v>
      </c>
      <c r="AQ422" s="1" t="s">
        <v>74</v>
      </c>
      <c r="AR422" s="1" t="s">
        <v>74</v>
      </c>
      <c r="AS422" s="1" t="s">
        <v>74</v>
      </c>
      <c r="AT422" s="1" t="s">
        <v>1455</v>
      </c>
      <c r="AU422" s="1">
        <v>2009.0</v>
      </c>
      <c r="AV422" s="1">
        <v>48.0</v>
      </c>
      <c r="AW422" s="1">
        <v>11.0</v>
      </c>
      <c r="AX422" s="1" t="s">
        <v>74</v>
      </c>
      <c r="AY422" s="1" t="s">
        <v>74</v>
      </c>
      <c r="AZ422" s="1" t="s">
        <v>74</v>
      </c>
      <c r="BA422" s="1" t="s">
        <v>74</v>
      </c>
      <c r="BB422" s="1">
        <v>4737.0</v>
      </c>
      <c r="BC422" s="1">
        <v>4742.0</v>
      </c>
      <c r="BD422" s="1" t="s">
        <v>74</v>
      </c>
      <c r="BE422" s="1" t="s">
        <v>4427</v>
      </c>
      <c r="BF422" s="2" t="str">
        <f>HYPERLINK("http://dx.doi.org/10.1021/ic8019292","http://dx.doi.org/10.1021/ic8019292")</f>
        <v>http://dx.doi.org/10.1021/ic8019292</v>
      </c>
      <c r="BG422" s="1" t="s">
        <v>74</v>
      </c>
      <c r="BH422" s="1" t="s">
        <v>74</v>
      </c>
      <c r="BI422" s="1" t="s">
        <v>74</v>
      </c>
      <c r="BJ422" s="1" t="s">
        <v>74</v>
      </c>
      <c r="BK422" s="1" t="s">
        <v>74</v>
      </c>
      <c r="BL422" s="1" t="s">
        <v>74</v>
      </c>
      <c r="BM422" s="1" t="s">
        <v>74</v>
      </c>
      <c r="BN422" s="1">
        <v>1.94668E7</v>
      </c>
      <c r="BO422" s="1" t="s">
        <v>74</v>
      </c>
      <c r="BP422" s="1" t="s">
        <v>74</v>
      </c>
      <c r="BQ422" s="1" t="s">
        <v>74</v>
      </c>
      <c r="BR422" s="1" t="s">
        <v>74</v>
      </c>
      <c r="BS422" s="1" t="s">
        <v>4428</v>
      </c>
      <c r="BT422" s="1" t="str">
        <f>HYPERLINK("https%3A%2F%2Fwww.webofscience.com%2Fwos%2Fwoscc%2Ffull-record%2FWOS:000266428100033","View Full Record in Web of Science")</f>
        <v>View Full Record in Web of Science</v>
      </c>
    </row>
    <row r="423" ht="12.75" customHeight="1">
      <c r="A423" s="1" t="s">
        <v>72</v>
      </c>
      <c r="B423" s="1" t="s">
        <v>4429</v>
      </c>
      <c r="C423" s="1" t="s">
        <v>74</v>
      </c>
      <c r="D423" s="1" t="s">
        <v>74</v>
      </c>
      <c r="E423" s="1" t="s">
        <v>74</v>
      </c>
      <c r="F423" s="1" t="s">
        <v>4430</v>
      </c>
      <c r="G423" s="1" t="s">
        <v>74</v>
      </c>
      <c r="H423" s="1" t="s">
        <v>74</v>
      </c>
      <c r="I423" s="1" t="s">
        <v>4431</v>
      </c>
      <c r="J423" s="1" t="s">
        <v>4432</v>
      </c>
      <c r="K423" s="1" t="s">
        <v>74</v>
      </c>
      <c r="L423" s="1" t="s">
        <v>74</v>
      </c>
      <c r="M423" s="1" t="s">
        <v>74</v>
      </c>
      <c r="N423" s="1" t="s">
        <v>74</v>
      </c>
      <c r="O423" s="1" t="s">
        <v>74</v>
      </c>
      <c r="P423" s="1" t="s">
        <v>74</v>
      </c>
      <c r="Q423" s="1" t="s">
        <v>74</v>
      </c>
      <c r="R423" s="1" t="s">
        <v>74</v>
      </c>
      <c r="S423" s="1" t="s">
        <v>74</v>
      </c>
      <c r="T423" s="1" t="s">
        <v>74</v>
      </c>
      <c r="U423" s="1" t="s">
        <v>74</v>
      </c>
      <c r="V423" s="1" t="s">
        <v>4433</v>
      </c>
      <c r="W423" s="1" t="s">
        <v>74</v>
      </c>
      <c r="X423" s="1" t="s">
        <v>74</v>
      </c>
      <c r="Y423" s="1" t="s">
        <v>74</v>
      </c>
      <c r="Z423" s="1" t="s">
        <v>74</v>
      </c>
      <c r="AA423" s="1" t="s">
        <v>4434</v>
      </c>
      <c r="AB423" s="1" t="s">
        <v>4435</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74</v>
      </c>
      <c r="AP423" s="1" t="s">
        <v>4436</v>
      </c>
      <c r="AQ423" s="1" t="s">
        <v>74</v>
      </c>
      <c r="AR423" s="1" t="s">
        <v>74</v>
      </c>
      <c r="AS423" s="1" t="s">
        <v>74</v>
      </c>
      <c r="AT423" s="1" t="s">
        <v>4437</v>
      </c>
      <c r="AU423" s="1">
        <v>2023.0</v>
      </c>
      <c r="AV423" s="1">
        <v>9.0</v>
      </c>
      <c r="AW423" s="1">
        <v>1.0</v>
      </c>
      <c r="AX423" s="1" t="s">
        <v>74</v>
      </c>
      <c r="AY423" s="1" t="s">
        <v>74</v>
      </c>
      <c r="AZ423" s="1" t="s">
        <v>74</v>
      </c>
      <c r="BA423" s="1" t="s">
        <v>74</v>
      </c>
      <c r="BB423" s="1" t="s">
        <v>74</v>
      </c>
      <c r="BC423" s="1" t="s">
        <v>74</v>
      </c>
      <c r="BD423" s="1">
        <v>438.0</v>
      </c>
      <c r="BE423" s="1" t="s">
        <v>4438</v>
      </c>
      <c r="BF423" s="2" t="str">
        <f>HYPERLINK("http://dx.doi.org/10.1038/s41420-023-01734-1","http://dx.doi.org/10.1038/s41420-023-01734-1")</f>
        <v>http://dx.doi.org/10.1038/s41420-023-01734-1</v>
      </c>
      <c r="BG423" s="1" t="s">
        <v>74</v>
      </c>
      <c r="BH423" s="1" t="s">
        <v>74</v>
      </c>
      <c r="BI423" s="1" t="s">
        <v>74</v>
      </c>
      <c r="BJ423" s="1" t="s">
        <v>74</v>
      </c>
      <c r="BK423" s="1" t="s">
        <v>74</v>
      </c>
      <c r="BL423" s="1" t="s">
        <v>74</v>
      </c>
      <c r="BM423" s="1" t="s">
        <v>74</v>
      </c>
      <c r="BN423" s="1">
        <v>3.8042807E7</v>
      </c>
      <c r="BO423" s="1" t="s">
        <v>74</v>
      </c>
      <c r="BP423" s="1" t="s">
        <v>74</v>
      </c>
      <c r="BQ423" s="1" t="s">
        <v>74</v>
      </c>
      <c r="BR423" s="1" t="s">
        <v>74</v>
      </c>
      <c r="BS423" s="1" t="s">
        <v>4439</v>
      </c>
      <c r="BT423" s="1" t="str">
        <f>HYPERLINK("https%3A%2F%2Fwww.webofscience.com%2Fwos%2Fwoscc%2Ffull-record%2FWOS:001112295200001","View Full Record in Web of Science")</f>
        <v>View Full Record in Web of Science</v>
      </c>
    </row>
    <row r="424" ht="12.75" customHeight="1">
      <c r="A424" s="1" t="s">
        <v>72</v>
      </c>
      <c r="B424" s="1" t="s">
        <v>4440</v>
      </c>
      <c r="C424" s="1" t="s">
        <v>74</v>
      </c>
      <c r="D424" s="1" t="s">
        <v>74</v>
      </c>
      <c r="E424" s="1" t="s">
        <v>74</v>
      </c>
      <c r="F424" s="1" t="s">
        <v>4441</v>
      </c>
      <c r="G424" s="1" t="s">
        <v>74</v>
      </c>
      <c r="H424" s="1" t="s">
        <v>74</v>
      </c>
      <c r="I424" s="1" t="s">
        <v>4442</v>
      </c>
      <c r="J424" s="1" t="s">
        <v>4317</v>
      </c>
      <c r="K424" s="1" t="s">
        <v>74</v>
      </c>
      <c r="L424" s="1" t="s">
        <v>74</v>
      </c>
      <c r="M424" s="1" t="s">
        <v>74</v>
      </c>
      <c r="N424" s="1" t="s">
        <v>74</v>
      </c>
      <c r="O424" s="1" t="s">
        <v>74</v>
      </c>
      <c r="P424" s="1" t="s">
        <v>74</v>
      </c>
      <c r="Q424" s="1" t="s">
        <v>74</v>
      </c>
      <c r="R424" s="1" t="s">
        <v>74</v>
      </c>
      <c r="S424" s="1" t="s">
        <v>74</v>
      </c>
      <c r="T424" s="1" t="s">
        <v>74</v>
      </c>
      <c r="U424" s="1" t="s">
        <v>74</v>
      </c>
      <c r="V424" s="1" t="s">
        <v>4443</v>
      </c>
      <c r="W424" s="1" t="s">
        <v>74</v>
      </c>
      <c r="X424" s="1" t="s">
        <v>74</v>
      </c>
      <c r="Y424" s="1" t="s">
        <v>74</v>
      </c>
      <c r="Z424" s="1" t="s">
        <v>74</v>
      </c>
      <c r="AA424" s="1" t="s">
        <v>4444</v>
      </c>
      <c r="AB424" s="1" t="s">
        <v>4445</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4321</v>
      </c>
      <c r="AP424" s="1" t="s">
        <v>74</v>
      </c>
      <c r="AQ424" s="1" t="s">
        <v>74</v>
      </c>
      <c r="AR424" s="1" t="s">
        <v>74</v>
      </c>
      <c r="AS424" s="1" t="s">
        <v>74</v>
      </c>
      <c r="AT424" s="1" t="s">
        <v>4446</v>
      </c>
      <c r="AU424" s="1">
        <v>2022.0</v>
      </c>
      <c r="AV424" s="1">
        <v>12.0</v>
      </c>
      <c r="AW424" s="1" t="s">
        <v>74</v>
      </c>
      <c r="AX424" s="1" t="s">
        <v>74</v>
      </c>
      <c r="AY424" s="1" t="s">
        <v>74</v>
      </c>
      <c r="AZ424" s="1" t="s">
        <v>74</v>
      </c>
      <c r="BA424" s="1" t="s">
        <v>74</v>
      </c>
      <c r="BB424" s="1" t="s">
        <v>74</v>
      </c>
      <c r="BC424" s="1" t="s">
        <v>74</v>
      </c>
      <c r="BD424" s="1">
        <v>797537.0</v>
      </c>
      <c r="BE424" s="1" t="s">
        <v>4447</v>
      </c>
      <c r="BF424" s="2" t="str">
        <f>HYPERLINK("http://dx.doi.org/10.3389/fpsyg.2021.797537","http://dx.doi.org/10.3389/fpsyg.2021.797537")</f>
        <v>http://dx.doi.org/10.3389/fpsyg.2021.797537</v>
      </c>
      <c r="BG424" s="1" t="s">
        <v>74</v>
      </c>
      <c r="BH424" s="1" t="s">
        <v>74</v>
      </c>
      <c r="BI424" s="1" t="s">
        <v>74</v>
      </c>
      <c r="BJ424" s="1" t="s">
        <v>74</v>
      </c>
      <c r="BK424" s="1" t="s">
        <v>74</v>
      </c>
      <c r="BL424" s="1" t="s">
        <v>74</v>
      </c>
      <c r="BM424" s="1" t="s">
        <v>74</v>
      </c>
      <c r="BN424" s="1">
        <v>3.5069389E7</v>
      </c>
      <c r="BO424" s="1" t="s">
        <v>74</v>
      </c>
      <c r="BP424" s="1" t="s">
        <v>74</v>
      </c>
      <c r="BQ424" s="1" t="s">
        <v>74</v>
      </c>
      <c r="BR424" s="1" t="s">
        <v>74</v>
      </c>
      <c r="BS424" s="1" t="s">
        <v>4448</v>
      </c>
      <c r="BT424" s="1" t="str">
        <f>HYPERLINK("https%3A%2F%2Fwww.webofscience.com%2Fwos%2Fwoscc%2Ffull-record%2FWOS:000757600200001","View Full Record in Web of Science")</f>
        <v>View Full Record in Web of Science</v>
      </c>
    </row>
    <row r="425" ht="12.75" customHeight="1">
      <c r="A425" s="1" t="s">
        <v>72</v>
      </c>
      <c r="B425" s="1" t="s">
        <v>4449</v>
      </c>
      <c r="C425" s="1" t="s">
        <v>74</v>
      </c>
      <c r="D425" s="1" t="s">
        <v>74</v>
      </c>
      <c r="E425" s="1" t="s">
        <v>74</v>
      </c>
      <c r="F425" s="1" t="s">
        <v>4450</v>
      </c>
      <c r="G425" s="1" t="s">
        <v>74</v>
      </c>
      <c r="H425" s="1" t="s">
        <v>74</v>
      </c>
      <c r="I425" s="1" t="s">
        <v>4451</v>
      </c>
      <c r="J425" s="1" t="s">
        <v>4452</v>
      </c>
      <c r="K425" s="1" t="s">
        <v>74</v>
      </c>
      <c r="L425" s="1" t="s">
        <v>74</v>
      </c>
      <c r="M425" s="1" t="s">
        <v>74</v>
      </c>
      <c r="N425" s="1" t="s">
        <v>74</v>
      </c>
      <c r="O425" s="1" t="s">
        <v>74</v>
      </c>
      <c r="P425" s="1" t="s">
        <v>74</v>
      </c>
      <c r="Q425" s="1" t="s">
        <v>74</v>
      </c>
      <c r="R425" s="1" t="s">
        <v>74</v>
      </c>
      <c r="S425" s="1" t="s">
        <v>74</v>
      </c>
      <c r="T425" s="1" t="s">
        <v>74</v>
      </c>
      <c r="U425" s="1" t="s">
        <v>74</v>
      </c>
      <c r="V425" s="1" t="s">
        <v>4453</v>
      </c>
      <c r="W425" s="1" t="s">
        <v>74</v>
      </c>
      <c r="X425" s="1" t="s">
        <v>74</v>
      </c>
      <c r="Y425" s="1" t="s">
        <v>74</v>
      </c>
      <c r="Z425" s="1" t="s">
        <v>74</v>
      </c>
      <c r="AA425" s="1" t="s">
        <v>4454</v>
      </c>
      <c r="AB425" s="1" t="s">
        <v>4455</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4456</v>
      </c>
      <c r="AP425" s="1" t="s">
        <v>4457</v>
      </c>
      <c r="AQ425" s="1" t="s">
        <v>74</v>
      </c>
      <c r="AR425" s="1" t="s">
        <v>74</v>
      </c>
      <c r="AS425" s="1" t="s">
        <v>74</v>
      </c>
      <c r="AT425" s="1" t="s">
        <v>334</v>
      </c>
      <c r="AU425" s="1">
        <v>2018.0</v>
      </c>
      <c r="AV425" s="1">
        <v>190.0</v>
      </c>
      <c r="AW425" s="1" t="s">
        <v>74</v>
      </c>
      <c r="AX425" s="1" t="s">
        <v>74</v>
      </c>
      <c r="AY425" s="1" t="s">
        <v>74</v>
      </c>
      <c r="AZ425" s="1" t="s">
        <v>74</v>
      </c>
      <c r="BA425" s="1" t="s">
        <v>74</v>
      </c>
      <c r="BB425" s="1">
        <v>195.0</v>
      </c>
      <c r="BC425" s="1">
        <v>208.0</v>
      </c>
      <c r="BD425" s="1" t="s">
        <v>74</v>
      </c>
      <c r="BE425" s="1" t="s">
        <v>4458</v>
      </c>
      <c r="BF425" s="2" t="str">
        <f>HYPERLINK("http://dx.doi.org/10.1016/j.atmosenv.2018.06.043","http://dx.doi.org/10.1016/j.atmosenv.2018.06.043")</f>
        <v>http://dx.doi.org/10.1016/j.atmosenv.2018.06.043</v>
      </c>
      <c r="BG425" s="1" t="s">
        <v>74</v>
      </c>
      <c r="BH425" s="1" t="s">
        <v>74</v>
      </c>
      <c r="BI425" s="1" t="s">
        <v>74</v>
      </c>
      <c r="BJ425" s="1" t="s">
        <v>74</v>
      </c>
      <c r="BK425" s="1" t="s">
        <v>74</v>
      </c>
      <c r="BL425" s="1" t="s">
        <v>74</v>
      </c>
      <c r="BM425" s="1" t="s">
        <v>74</v>
      </c>
      <c r="BN425" s="1" t="s">
        <v>74</v>
      </c>
      <c r="BO425" s="1" t="s">
        <v>74</v>
      </c>
      <c r="BP425" s="1" t="s">
        <v>74</v>
      </c>
      <c r="BQ425" s="1" t="s">
        <v>74</v>
      </c>
      <c r="BR425" s="1" t="s">
        <v>74</v>
      </c>
      <c r="BS425" s="1" t="s">
        <v>4459</v>
      </c>
      <c r="BT425" s="1" t="str">
        <f>HYPERLINK("https%3A%2F%2Fwww.webofscience.com%2Fwos%2Fwoscc%2Ffull-record%2FWOS:000444659400019","View Full Record in Web of Science")</f>
        <v>View Full Record in Web of Science</v>
      </c>
    </row>
    <row r="426" ht="12.75" customHeight="1">
      <c r="A426" s="1" t="s">
        <v>72</v>
      </c>
      <c r="B426" s="1" t="s">
        <v>4460</v>
      </c>
      <c r="C426" s="1" t="s">
        <v>74</v>
      </c>
      <c r="D426" s="1" t="s">
        <v>74</v>
      </c>
      <c r="E426" s="1" t="s">
        <v>74</v>
      </c>
      <c r="F426" s="1" t="s">
        <v>4461</v>
      </c>
      <c r="G426" s="1" t="s">
        <v>74</v>
      </c>
      <c r="H426" s="1" t="s">
        <v>74</v>
      </c>
      <c r="I426" s="1" t="s">
        <v>4462</v>
      </c>
      <c r="J426" s="1" t="s">
        <v>1809</v>
      </c>
      <c r="K426" s="1" t="s">
        <v>74</v>
      </c>
      <c r="L426" s="1" t="s">
        <v>74</v>
      </c>
      <c r="M426" s="1" t="s">
        <v>74</v>
      </c>
      <c r="N426" s="1" t="s">
        <v>74</v>
      </c>
      <c r="O426" s="1" t="s">
        <v>74</v>
      </c>
      <c r="P426" s="1" t="s">
        <v>74</v>
      </c>
      <c r="Q426" s="1" t="s">
        <v>74</v>
      </c>
      <c r="R426" s="1" t="s">
        <v>74</v>
      </c>
      <c r="S426" s="1" t="s">
        <v>74</v>
      </c>
      <c r="T426" s="1" t="s">
        <v>74</v>
      </c>
      <c r="U426" s="1" t="s">
        <v>74</v>
      </c>
      <c r="V426" s="1" t="s">
        <v>4463</v>
      </c>
      <c r="W426" s="1" t="s">
        <v>74</v>
      </c>
      <c r="X426" s="1" t="s">
        <v>74</v>
      </c>
      <c r="Y426" s="1" t="s">
        <v>74</v>
      </c>
      <c r="Z426" s="1" t="s">
        <v>74</v>
      </c>
      <c r="AA426" s="1" t="s">
        <v>4464</v>
      </c>
      <c r="AB426" s="1" t="s">
        <v>4465</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1813</v>
      </c>
      <c r="AP426" s="1" t="s">
        <v>1814</v>
      </c>
      <c r="AQ426" s="1" t="s">
        <v>74</v>
      </c>
      <c r="AR426" s="1" t="s">
        <v>74</v>
      </c>
      <c r="AS426" s="1" t="s">
        <v>74</v>
      </c>
      <c r="AT426" s="1" t="s">
        <v>141</v>
      </c>
      <c r="AU426" s="1">
        <v>2015.0</v>
      </c>
      <c r="AV426" s="1">
        <v>134.0</v>
      </c>
      <c r="AW426" s="1" t="s">
        <v>74</v>
      </c>
      <c r="AX426" s="1" t="s">
        <v>74</v>
      </c>
      <c r="AY426" s="1" t="s">
        <v>74</v>
      </c>
      <c r="AZ426" s="1" t="s">
        <v>74</v>
      </c>
      <c r="BA426" s="1" t="s">
        <v>74</v>
      </c>
      <c r="BB426" s="1">
        <v>475.0</v>
      </c>
      <c r="BC426" s="1">
        <v>481.0</v>
      </c>
      <c r="BD426" s="1" t="s">
        <v>74</v>
      </c>
      <c r="BE426" s="1" t="s">
        <v>4466</v>
      </c>
      <c r="BF426" s="2" t="str">
        <f>HYPERLINK("http://dx.doi.org/10.1016/j.chemosphere.2015.04.077","http://dx.doi.org/10.1016/j.chemosphere.2015.04.077")</f>
        <v>http://dx.doi.org/10.1016/j.chemosphere.2015.04.077</v>
      </c>
      <c r="BG426" s="1" t="s">
        <v>74</v>
      </c>
      <c r="BH426" s="1" t="s">
        <v>74</v>
      </c>
      <c r="BI426" s="1" t="s">
        <v>74</v>
      </c>
      <c r="BJ426" s="1" t="s">
        <v>74</v>
      </c>
      <c r="BK426" s="1" t="s">
        <v>74</v>
      </c>
      <c r="BL426" s="1" t="s">
        <v>74</v>
      </c>
      <c r="BM426" s="1" t="s">
        <v>74</v>
      </c>
      <c r="BN426" s="1">
        <v>2.6022137E7</v>
      </c>
      <c r="BO426" s="1" t="s">
        <v>74</v>
      </c>
      <c r="BP426" s="1" t="s">
        <v>74</v>
      </c>
      <c r="BQ426" s="1" t="s">
        <v>74</v>
      </c>
      <c r="BR426" s="1" t="s">
        <v>74</v>
      </c>
      <c r="BS426" s="1" t="s">
        <v>4467</v>
      </c>
      <c r="BT426" s="1" t="str">
        <f>HYPERLINK("https%3A%2F%2Fwww.webofscience.com%2Fwos%2Fwoscc%2Ffull-record%2FWOS:000356549500065","View Full Record in Web of Science")</f>
        <v>View Full Record in Web of Science</v>
      </c>
    </row>
    <row r="427" ht="12.75" customHeight="1">
      <c r="A427" s="1" t="s">
        <v>72</v>
      </c>
      <c r="B427" s="1" t="s">
        <v>4468</v>
      </c>
      <c r="C427" s="1" t="s">
        <v>74</v>
      </c>
      <c r="D427" s="1" t="s">
        <v>74</v>
      </c>
      <c r="E427" s="1" t="s">
        <v>74</v>
      </c>
      <c r="F427" s="1" t="s">
        <v>4469</v>
      </c>
      <c r="G427" s="1" t="s">
        <v>74</v>
      </c>
      <c r="H427" s="1" t="s">
        <v>74</v>
      </c>
      <c r="I427" s="1" t="s">
        <v>4470</v>
      </c>
      <c r="J427" s="1" t="s">
        <v>1181</v>
      </c>
      <c r="K427" s="1" t="s">
        <v>74</v>
      </c>
      <c r="L427" s="1" t="s">
        <v>74</v>
      </c>
      <c r="M427" s="1" t="s">
        <v>74</v>
      </c>
      <c r="N427" s="1" t="s">
        <v>74</v>
      </c>
      <c r="O427" s="1" t="s">
        <v>74</v>
      </c>
      <c r="P427" s="1" t="s">
        <v>74</v>
      </c>
      <c r="Q427" s="1" t="s">
        <v>74</v>
      </c>
      <c r="R427" s="1" t="s">
        <v>74</v>
      </c>
      <c r="S427" s="1" t="s">
        <v>74</v>
      </c>
      <c r="T427" s="1" t="s">
        <v>74</v>
      </c>
      <c r="U427" s="1" t="s">
        <v>74</v>
      </c>
      <c r="V427" s="1" t="s">
        <v>74</v>
      </c>
      <c r="W427" s="1" t="s">
        <v>74</v>
      </c>
      <c r="X427" s="1" t="s">
        <v>74</v>
      </c>
      <c r="Y427" s="1" t="s">
        <v>74</v>
      </c>
      <c r="Z427" s="1" t="s">
        <v>74</v>
      </c>
      <c r="AA427" s="1" t="s">
        <v>4471</v>
      </c>
      <c r="AB427" s="1" t="s">
        <v>4472</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1185</v>
      </c>
      <c r="AP427" s="1" t="s">
        <v>1186</v>
      </c>
      <c r="AQ427" s="1" t="s">
        <v>74</v>
      </c>
      <c r="AR427" s="1" t="s">
        <v>74</v>
      </c>
      <c r="AS427" s="1" t="s">
        <v>74</v>
      </c>
      <c r="AT427" s="1" t="s">
        <v>1030</v>
      </c>
      <c r="AU427" s="1">
        <v>2023.0</v>
      </c>
      <c r="AV427" s="1">
        <v>56.0</v>
      </c>
      <c r="AW427" s="1">
        <v>1.0</v>
      </c>
      <c r="AX427" s="1" t="s">
        <v>74</v>
      </c>
      <c r="AY427" s="1" t="s">
        <v>74</v>
      </c>
      <c r="AZ427" s="1" t="s">
        <v>74</v>
      </c>
      <c r="BA427" s="1" t="s">
        <v>74</v>
      </c>
      <c r="BB427" s="1" t="s">
        <v>74</v>
      </c>
      <c r="BC427" s="1" t="s">
        <v>74</v>
      </c>
      <c r="BD427" s="1">
        <v>24.0</v>
      </c>
      <c r="BE427" s="1" t="s">
        <v>4473</v>
      </c>
      <c r="BF427" s="2" t="str">
        <f>HYPERLINK("http://dx.doi.org/10.1186/s40659-023-00433-6","http://dx.doi.org/10.1186/s40659-023-00433-6")</f>
        <v>http://dx.doi.org/10.1186/s40659-023-00433-6</v>
      </c>
      <c r="BG427" s="1" t="s">
        <v>74</v>
      </c>
      <c r="BH427" s="1" t="s">
        <v>74</v>
      </c>
      <c r="BI427" s="1" t="s">
        <v>74</v>
      </c>
      <c r="BJ427" s="1" t="s">
        <v>74</v>
      </c>
      <c r="BK427" s="1" t="s">
        <v>74</v>
      </c>
      <c r="BL427" s="1" t="s">
        <v>74</v>
      </c>
      <c r="BM427" s="1" t="s">
        <v>74</v>
      </c>
      <c r="BN427" s="1">
        <v>3.7165417E7</v>
      </c>
      <c r="BO427" s="1" t="s">
        <v>74</v>
      </c>
      <c r="BP427" s="1" t="s">
        <v>74</v>
      </c>
      <c r="BQ427" s="1" t="s">
        <v>74</v>
      </c>
      <c r="BR427" s="1" t="s">
        <v>74</v>
      </c>
      <c r="BS427" s="1" t="s">
        <v>4474</v>
      </c>
      <c r="BT427" s="1" t="str">
        <f>HYPERLINK("https%3A%2F%2Fwww.webofscience.com%2Fwos%2Fwoscc%2Ffull-record%2FWOS:000986696200001","View Full Record in Web of Science")</f>
        <v>View Full Record in Web of Science</v>
      </c>
    </row>
    <row r="428" ht="12.75" customHeight="1">
      <c r="A428" s="1" t="s">
        <v>72</v>
      </c>
      <c r="B428" s="1" t="s">
        <v>4475</v>
      </c>
      <c r="C428" s="1" t="s">
        <v>74</v>
      </c>
      <c r="D428" s="1" t="s">
        <v>74</v>
      </c>
      <c r="E428" s="1" t="s">
        <v>74</v>
      </c>
      <c r="F428" s="1" t="s">
        <v>4476</v>
      </c>
      <c r="G428" s="1" t="s">
        <v>74</v>
      </c>
      <c r="H428" s="1" t="s">
        <v>74</v>
      </c>
      <c r="I428" s="1" t="s">
        <v>4477</v>
      </c>
      <c r="J428" s="1" t="s">
        <v>871</v>
      </c>
      <c r="K428" s="1" t="s">
        <v>74</v>
      </c>
      <c r="L428" s="1" t="s">
        <v>74</v>
      </c>
      <c r="M428" s="1" t="s">
        <v>74</v>
      </c>
      <c r="N428" s="1" t="s">
        <v>74</v>
      </c>
      <c r="O428" s="1" t="s">
        <v>74</v>
      </c>
      <c r="P428" s="1" t="s">
        <v>74</v>
      </c>
      <c r="Q428" s="1" t="s">
        <v>74</v>
      </c>
      <c r="R428" s="1" t="s">
        <v>74</v>
      </c>
      <c r="S428" s="1" t="s">
        <v>74</v>
      </c>
      <c r="T428" s="1" t="s">
        <v>74</v>
      </c>
      <c r="U428" s="1" t="s">
        <v>74</v>
      </c>
      <c r="V428" s="1" t="s">
        <v>4478</v>
      </c>
      <c r="W428" s="1" t="s">
        <v>74</v>
      </c>
      <c r="X428" s="1" t="s">
        <v>74</v>
      </c>
      <c r="Y428" s="1" t="s">
        <v>74</v>
      </c>
      <c r="Z428" s="1" t="s">
        <v>74</v>
      </c>
      <c r="AA428" s="1" t="s">
        <v>4479</v>
      </c>
      <c r="AB428" s="1" t="s">
        <v>4480</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74</v>
      </c>
      <c r="AP428" s="1" t="s">
        <v>875</v>
      </c>
      <c r="AQ428" s="1" t="s">
        <v>74</v>
      </c>
      <c r="AR428" s="1" t="s">
        <v>74</v>
      </c>
      <c r="AS428" s="1" t="s">
        <v>74</v>
      </c>
      <c r="AT428" s="1" t="s">
        <v>264</v>
      </c>
      <c r="AU428" s="1">
        <v>2022.0</v>
      </c>
      <c r="AV428" s="1">
        <v>15.0</v>
      </c>
      <c r="AW428" s="1">
        <v>1.0</v>
      </c>
      <c r="AX428" s="1" t="s">
        <v>74</v>
      </c>
      <c r="AY428" s="1" t="s">
        <v>74</v>
      </c>
      <c r="AZ428" s="1" t="s">
        <v>74</v>
      </c>
      <c r="BA428" s="1" t="s">
        <v>74</v>
      </c>
      <c r="BB428" s="1" t="s">
        <v>74</v>
      </c>
      <c r="BC428" s="1" t="s">
        <v>74</v>
      </c>
      <c r="BD428" s="1">
        <v>131.0</v>
      </c>
      <c r="BE428" s="1" t="s">
        <v>4481</v>
      </c>
      <c r="BF428" s="2" t="str">
        <f>HYPERLINK("http://dx.doi.org/10.3390/ma15010131","http://dx.doi.org/10.3390/ma15010131")</f>
        <v>http://dx.doi.org/10.3390/ma15010131</v>
      </c>
      <c r="BG428" s="1" t="s">
        <v>74</v>
      </c>
      <c r="BH428" s="1" t="s">
        <v>74</v>
      </c>
      <c r="BI428" s="1" t="s">
        <v>74</v>
      </c>
      <c r="BJ428" s="1" t="s">
        <v>74</v>
      </c>
      <c r="BK428" s="1" t="s">
        <v>74</v>
      </c>
      <c r="BL428" s="1" t="s">
        <v>74</v>
      </c>
      <c r="BM428" s="1" t="s">
        <v>74</v>
      </c>
      <c r="BN428" s="1">
        <v>3.5009273E7</v>
      </c>
      <c r="BO428" s="1" t="s">
        <v>74</v>
      </c>
      <c r="BP428" s="1" t="s">
        <v>74</v>
      </c>
      <c r="BQ428" s="1" t="s">
        <v>74</v>
      </c>
      <c r="BR428" s="1" t="s">
        <v>74</v>
      </c>
      <c r="BS428" s="1" t="s">
        <v>4482</v>
      </c>
      <c r="BT428" s="1" t="str">
        <f>HYPERLINK("https%3A%2F%2Fwww.webofscience.com%2Fwos%2Fwoscc%2Ffull-record%2FWOS:000743690800001","View Full Record in Web of Science")</f>
        <v>View Full Record in Web of Science</v>
      </c>
    </row>
    <row r="429" ht="12.75" customHeight="1">
      <c r="A429" s="1" t="s">
        <v>72</v>
      </c>
      <c r="B429" s="1" t="s">
        <v>2327</v>
      </c>
      <c r="C429" s="1" t="s">
        <v>74</v>
      </c>
      <c r="D429" s="1" t="s">
        <v>74</v>
      </c>
      <c r="E429" s="1" t="s">
        <v>74</v>
      </c>
      <c r="F429" s="1" t="s">
        <v>2328</v>
      </c>
      <c r="G429" s="1" t="s">
        <v>74</v>
      </c>
      <c r="H429" s="1" t="s">
        <v>74</v>
      </c>
      <c r="I429" s="1" t="s">
        <v>4483</v>
      </c>
      <c r="J429" s="1" t="s">
        <v>2330</v>
      </c>
      <c r="K429" s="1" t="s">
        <v>74</v>
      </c>
      <c r="L429" s="1" t="s">
        <v>74</v>
      </c>
      <c r="M429" s="1" t="s">
        <v>74</v>
      </c>
      <c r="N429" s="1" t="s">
        <v>74</v>
      </c>
      <c r="O429" s="1" t="s">
        <v>74</v>
      </c>
      <c r="P429" s="1" t="s">
        <v>74</v>
      </c>
      <c r="Q429" s="1" t="s">
        <v>74</v>
      </c>
      <c r="R429" s="1" t="s">
        <v>74</v>
      </c>
      <c r="S429" s="1" t="s">
        <v>74</v>
      </c>
      <c r="T429" s="1" t="s">
        <v>74</v>
      </c>
      <c r="U429" s="1" t="s">
        <v>74</v>
      </c>
      <c r="V429" s="1" t="s">
        <v>74</v>
      </c>
      <c r="W429" s="1" t="s">
        <v>74</v>
      </c>
      <c r="X429" s="1" t="s">
        <v>74</v>
      </c>
      <c r="Y429" s="1" t="s">
        <v>74</v>
      </c>
      <c r="Z429" s="1" t="s">
        <v>74</v>
      </c>
      <c r="AA429" s="1" t="s">
        <v>4484</v>
      </c>
      <c r="AB429" s="1" t="s">
        <v>4485</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2333</v>
      </c>
      <c r="AP429" s="1" t="s">
        <v>2334</v>
      </c>
      <c r="AQ429" s="1" t="s">
        <v>74</v>
      </c>
      <c r="AR429" s="1" t="s">
        <v>74</v>
      </c>
      <c r="AS429" s="1" t="s">
        <v>74</v>
      </c>
      <c r="AT429" s="1" t="s">
        <v>202</v>
      </c>
      <c r="AU429" s="1">
        <v>2019.0</v>
      </c>
      <c r="AV429" s="1">
        <v>120.0</v>
      </c>
      <c r="AW429" s="1" t="s">
        <v>74</v>
      </c>
      <c r="AX429" s="1" t="s">
        <v>74</v>
      </c>
      <c r="AY429" s="1" t="s">
        <v>74</v>
      </c>
      <c r="AZ429" s="1" t="s">
        <v>74</v>
      </c>
      <c r="BA429" s="1" t="s">
        <v>74</v>
      </c>
      <c r="BB429" s="1">
        <v>113.0</v>
      </c>
      <c r="BC429" s="1">
        <v>113.0</v>
      </c>
      <c r="BD429" s="1" t="s">
        <v>74</v>
      </c>
      <c r="BE429" s="1" t="s">
        <v>4486</v>
      </c>
      <c r="BF429" s="2" t="str">
        <f>HYPERLINK("http://dx.doi.org/10.1016/j.exger.2019.02.009","http://dx.doi.org/10.1016/j.exger.2019.02.009")</f>
        <v>http://dx.doi.org/10.1016/j.exger.2019.02.009</v>
      </c>
      <c r="BG429" s="1" t="s">
        <v>74</v>
      </c>
      <c r="BH429" s="1" t="s">
        <v>74</v>
      </c>
      <c r="BI429" s="1" t="s">
        <v>74</v>
      </c>
      <c r="BJ429" s="1" t="s">
        <v>74</v>
      </c>
      <c r="BK429" s="1" t="s">
        <v>74</v>
      </c>
      <c r="BL429" s="1" t="s">
        <v>74</v>
      </c>
      <c r="BM429" s="1" t="s">
        <v>74</v>
      </c>
      <c r="BN429" s="1">
        <v>3.0831201E7</v>
      </c>
      <c r="BO429" s="1" t="s">
        <v>74</v>
      </c>
      <c r="BP429" s="1" t="s">
        <v>74</v>
      </c>
      <c r="BQ429" s="1" t="s">
        <v>74</v>
      </c>
      <c r="BR429" s="1" t="s">
        <v>74</v>
      </c>
      <c r="BS429" s="1" t="s">
        <v>4487</v>
      </c>
      <c r="BT429" s="1" t="str">
        <f>HYPERLINK("https%3A%2F%2Fwww.webofscience.com%2Fwos%2Fwoscc%2Ffull-record%2FWOS:000462035600015","View Full Record in Web of Science")</f>
        <v>View Full Record in Web of Science</v>
      </c>
    </row>
    <row r="430" ht="12.75" customHeight="1">
      <c r="A430" s="1" t="s">
        <v>72</v>
      </c>
      <c r="B430" s="1" t="s">
        <v>4488</v>
      </c>
      <c r="C430" s="1" t="s">
        <v>74</v>
      </c>
      <c r="D430" s="1" t="s">
        <v>74</v>
      </c>
      <c r="E430" s="1" t="s">
        <v>74</v>
      </c>
      <c r="F430" s="1" t="s">
        <v>4489</v>
      </c>
      <c r="G430" s="1" t="s">
        <v>74</v>
      </c>
      <c r="H430" s="1" t="s">
        <v>74</v>
      </c>
      <c r="I430" s="1" t="s">
        <v>4490</v>
      </c>
      <c r="J430" s="1" t="s">
        <v>4491</v>
      </c>
      <c r="K430" s="1" t="s">
        <v>74</v>
      </c>
      <c r="L430" s="1" t="s">
        <v>74</v>
      </c>
      <c r="M430" s="1" t="s">
        <v>74</v>
      </c>
      <c r="N430" s="1" t="s">
        <v>74</v>
      </c>
      <c r="O430" s="1" t="s">
        <v>74</v>
      </c>
      <c r="P430" s="1" t="s">
        <v>74</v>
      </c>
      <c r="Q430" s="1" t="s">
        <v>74</v>
      </c>
      <c r="R430" s="1" t="s">
        <v>74</v>
      </c>
      <c r="S430" s="1" t="s">
        <v>74</v>
      </c>
      <c r="T430" s="1" t="s">
        <v>74</v>
      </c>
      <c r="U430" s="1" t="s">
        <v>74</v>
      </c>
      <c r="V430" s="1" t="s">
        <v>74</v>
      </c>
      <c r="W430" s="1" t="s">
        <v>74</v>
      </c>
      <c r="X430" s="1" t="s">
        <v>74</v>
      </c>
      <c r="Y430" s="1" t="s">
        <v>74</v>
      </c>
      <c r="Z430" s="1" t="s">
        <v>74</v>
      </c>
      <c r="AA430" s="1" t="s">
        <v>4492</v>
      </c>
      <c r="AB430" s="1" t="s">
        <v>4493</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4494</v>
      </c>
      <c r="AP430" s="1" t="s">
        <v>74</v>
      </c>
      <c r="AQ430" s="1" t="s">
        <v>74</v>
      </c>
      <c r="AR430" s="1" t="s">
        <v>74</v>
      </c>
      <c r="AS430" s="1" t="s">
        <v>74</v>
      </c>
      <c r="AT430" s="1" t="s">
        <v>392</v>
      </c>
      <c r="AU430" s="1">
        <v>2013.0</v>
      </c>
      <c r="AV430" s="1">
        <v>1.0</v>
      </c>
      <c r="AW430" s="1">
        <v>2.0</v>
      </c>
      <c r="AX430" s="1" t="s">
        <v>74</v>
      </c>
      <c r="AY430" s="1" t="s">
        <v>74</v>
      </c>
      <c r="AZ430" s="1" t="s">
        <v>74</v>
      </c>
      <c r="BA430" s="1" t="s">
        <v>74</v>
      </c>
      <c r="BB430" s="1">
        <v>96.0</v>
      </c>
      <c r="BC430" s="1">
        <v>98.0</v>
      </c>
      <c r="BD430" s="1" t="s">
        <v>74</v>
      </c>
      <c r="BE430" s="1" t="s">
        <v>4495</v>
      </c>
      <c r="BF430" s="2" t="str">
        <f>HYPERLINK("http://dx.doi.org/10.1016/S2213-2600(13)70023-7","http://dx.doi.org/10.1016/S2213-2600(13)70023-7")</f>
        <v>http://dx.doi.org/10.1016/S2213-2600(13)70023-7</v>
      </c>
      <c r="BG430" s="1" t="s">
        <v>74</v>
      </c>
      <c r="BH430" s="1" t="s">
        <v>74</v>
      </c>
      <c r="BI430" s="1" t="s">
        <v>74</v>
      </c>
      <c r="BJ430" s="1" t="s">
        <v>74</v>
      </c>
      <c r="BK430" s="1" t="s">
        <v>74</v>
      </c>
      <c r="BL430" s="1" t="s">
        <v>74</v>
      </c>
      <c r="BM430" s="1" t="s">
        <v>74</v>
      </c>
      <c r="BN430" s="1">
        <v>2.4429078E7</v>
      </c>
      <c r="BO430" s="1" t="s">
        <v>74</v>
      </c>
      <c r="BP430" s="1" t="s">
        <v>74</v>
      </c>
      <c r="BQ430" s="1" t="s">
        <v>74</v>
      </c>
      <c r="BR430" s="1" t="s">
        <v>74</v>
      </c>
      <c r="BS430" s="1" t="s">
        <v>4496</v>
      </c>
      <c r="BT430" s="1" t="str">
        <f>HYPERLINK("https%3A%2F%2Fwww.webofscience.com%2Fwos%2Fwoscc%2Ffull-record%2FWOS:000333768400005","View Full Record in Web of Science")</f>
        <v>View Full Record in Web of Science</v>
      </c>
    </row>
    <row r="431" ht="12.75" customHeight="1">
      <c r="A431" s="1" t="s">
        <v>72</v>
      </c>
      <c r="B431" s="1" t="s">
        <v>4497</v>
      </c>
      <c r="C431" s="1" t="s">
        <v>74</v>
      </c>
      <c r="D431" s="1" t="s">
        <v>74</v>
      </c>
      <c r="E431" s="1" t="s">
        <v>74</v>
      </c>
      <c r="F431" s="1" t="s">
        <v>4498</v>
      </c>
      <c r="G431" s="1" t="s">
        <v>74</v>
      </c>
      <c r="H431" s="1" t="s">
        <v>74</v>
      </c>
      <c r="I431" s="1" t="s">
        <v>4499</v>
      </c>
      <c r="J431" s="1" t="s">
        <v>821</v>
      </c>
      <c r="K431" s="1" t="s">
        <v>74</v>
      </c>
      <c r="L431" s="1" t="s">
        <v>74</v>
      </c>
      <c r="M431" s="1" t="s">
        <v>74</v>
      </c>
      <c r="N431" s="1" t="s">
        <v>74</v>
      </c>
      <c r="O431" s="1" t="s">
        <v>74</v>
      </c>
      <c r="P431" s="1" t="s">
        <v>74</v>
      </c>
      <c r="Q431" s="1" t="s">
        <v>74</v>
      </c>
      <c r="R431" s="1" t="s">
        <v>74</v>
      </c>
      <c r="S431" s="1" t="s">
        <v>74</v>
      </c>
      <c r="T431" s="1" t="s">
        <v>74</v>
      </c>
      <c r="U431" s="1" t="s">
        <v>74</v>
      </c>
      <c r="V431" s="1" t="s">
        <v>4500</v>
      </c>
      <c r="W431" s="1" t="s">
        <v>74</v>
      </c>
      <c r="X431" s="1" t="s">
        <v>74</v>
      </c>
      <c r="Y431" s="1" t="s">
        <v>74</v>
      </c>
      <c r="Z431" s="1" t="s">
        <v>74</v>
      </c>
      <c r="AA431" s="1" t="s">
        <v>4501</v>
      </c>
      <c r="AB431" s="1" t="s">
        <v>4502</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74</v>
      </c>
      <c r="AP431" s="1" t="s">
        <v>825</v>
      </c>
      <c r="AQ431" s="1" t="s">
        <v>74</v>
      </c>
      <c r="AR431" s="1" t="s">
        <v>74</v>
      </c>
      <c r="AS431" s="1" t="s">
        <v>74</v>
      </c>
      <c r="AT431" s="1" t="s">
        <v>4503</v>
      </c>
      <c r="AU431" s="1">
        <v>2024.0</v>
      </c>
      <c r="AV431" s="1">
        <v>12.0</v>
      </c>
      <c r="AW431" s="1" t="s">
        <v>74</v>
      </c>
      <c r="AX431" s="1" t="s">
        <v>74</v>
      </c>
      <c r="AY431" s="1" t="s">
        <v>74</v>
      </c>
      <c r="AZ431" s="1" t="s">
        <v>74</v>
      </c>
      <c r="BA431" s="1" t="s">
        <v>74</v>
      </c>
      <c r="BB431" s="1" t="s">
        <v>74</v>
      </c>
      <c r="BC431" s="1" t="s">
        <v>74</v>
      </c>
      <c r="BD431" s="1">
        <v>1363015.0</v>
      </c>
      <c r="BE431" s="1" t="s">
        <v>4504</v>
      </c>
      <c r="BF431" s="2" t="str">
        <f>HYPERLINK("http://dx.doi.org/10.3389/fpubh.2024.1363015","http://dx.doi.org/10.3389/fpubh.2024.1363015")</f>
        <v>http://dx.doi.org/10.3389/fpubh.2024.1363015</v>
      </c>
      <c r="BG431" s="1" t="s">
        <v>74</v>
      </c>
      <c r="BH431" s="1" t="s">
        <v>74</v>
      </c>
      <c r="BI431" s="1" t="s">
        <v>74</v>
      </c>
      <c r="BJ431" s="1" t="s">
        <v>74</v>
      </c>
      <c r="BK431" s="1" t="s">
        <v>74</v>
      </c>
      <c r="BL431" s="1" t="s">
        <v>74</v>
      </c>
      <c r="BM431" s="1" t="s">
        <v>74</v>
      </c>
      <c r="BN431" s="1">
        <v>3.8566792E7</v>
      </c>
      <c r="BO431" s="1" t="s">
        <v>74</v>
      </c>
      <c r="BP431" s="1" t="s">
        <v>74</v>
      </c>
      <c r="BQ431" s="1" t="s">
        <v>74</v>
      </c>
      <c r="BR431" s="1" t="s">
        <v>74</v>
      </c>
      <c r="BS431" s="1" t="s">
        <v>4505</v>
      </c>
      <c r="BT431" s="1" t="str">
        <f>HYPERLINK("https%3A%2F%2Fwww.webofscience.com%2Fwos%2Fwoscc%2Ffull-record%2FWOS:001194956800001","View Full Record in Web of Science")</f>
        <v>View Full Record in Web of Science</v>
      </c>
    </row>
    <row r="432" ht="12.75" customHeight="1">
      <c r="A432" s="1" t="s">
        <v>462</v>
      </c>
      <c r="B432" s="1" t="s">
        <v>4506</v>
      </c>
      <c r="C432" s="1" t="s">
        <v>74</v>
      </c>
      <c r="D432" s="1" t="s">
        <v>4507</v>
      </c>
      <c r="E432" s="1" t="s">
        <v>74</v>
      </c>
      <c r="F432" s="1" t="s">
        <v>4508</v>
      </c>
      <c r="G432" s="1" t="s">
        <v>74</v>
      </c>
      <c r="H432" s="1" t="s">
        <v>74</v>
      </c>
      <c r="I432" s="1" t="s">
        <v>4509</v>
      </c>
      <c r="J432" s="1" t="s">
        <v>4510</v>
      </c>
      <c r="K432" s="1" t="s">
        <v>4511</v>
      </c>
      <c r="L432" s="1" t="s">
        <v>74</v>
      </c>
      <c r="M432" s="1" t="s">
        <v>74</v>
      </c>
      <c r="N432" s="1" t="s">
        <v>74</v>
      </c>
      <c r="O432" s="1" t="s">
        <v>4512</v>
      </c>
      <c r="P432" s="1" t="s">
        <v>4513</v>
      </c>
      <c r="Q432" s="1" t="s">
        <v>4514</v>
      </c>
      <c r="R432" s="1" t="s">
        <v>4515</v>
      </c>
      <c r="S432" s="1" t="s">
        <v>4516</v>
      </c>
      <c r="T432" s="1" t="s">
        <v>74</v>
      </c>
      <c r="U432" s="1" t="s">
        <v>74</v>
      </c>
      <c r="V432" s="1" t="s">
        <v>4517</v>
      </c>
      <c r="W432" s="1" t="s">
        <v>74</v>
      </c>
      <c r="X432" s="1" t="s">
        <v>74</v>
      </c>
      <c r="Y432" s="1" t="s">
        <v>74</v>
      </c>
      <c r="Z432" s="1" t="s">
        <v>74</v>
      </c>
      <c r="AA432" s="1" t="s">
        <v>4518</v>
      </c>
      <c r="AB432" s="1" t="s">
        <v>4519</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4520</v>
      </c>
      <c r="AP432" s="1" t="s">
        <v>4521</v>
      </c>
      <c r="AQ432" s="1" t="s">
        <v>4522</v>
      </c>
      <c r="AR432" s="1" t="s">
        <v>74</v>
      </c>
      <c r="AS432" s="1" t="s">
        <v>74</v>
      </c>
      <c r="AT432" s="1" t="s">
        <v>74</v>
      </c>
      <c r="AU432" s="1">
        <v>2020.0</v>
      </c>
      <c r="AV432" s="1">
        <v>1194.0</v>
      </c>
      <c r="AW432" s="1" t="s">
        <v>74</v>
      </c>
      <c r="AX432" s="1" t="s">
        <v>74</v>
      </c>
      <c r="AY432" s="1" t="s">
        <v>74</v>
      </c>
      <c r="AZ432" s="1" t="s">
        <v>74</v>
      </c>
      <c r="BA432" s="1" t="s">
        <v>74</v>
      </c>
      <c r="BB432" s="1">
        <v>284.0</v>
      </c>
      <c r="BC432" s="1">
        <v>296.0</v>
      </c>
      <c r="BD432" s="1" t="s">
        <v>74</v>
      </c>
      <c r="BE432" s="1" t="s">
        <v>4523</v>
      </c>
      <c r="BF432" s="2" t="str">
        <f>HYPERLINK("http://dx.doi.org/10.1007/978-3-030-42520-3_23","http://dx.doi.org/10.1007/978-3-030-42520-3_23")</f>
        <v>http://dx.doi.org/10.1007/978-3-030-42520-3_23</v>
      </c>
      <c r="BG432" s="1" t="s">
        <v>74</v>
      </c>
      <c r="BH432" s="1" t="s">
        <v>74</v>
      </c>
      <c r="BI432" s="1" t="s">
        <v>74</v>
      </c>
      <c r="BJ432" s="1" t="s">
        <v>74</v>
      </c>
      <c r="BK432" s="1" t="s">
        <v>74</v>
      </c>
      <c r="BL432" s="1" t="s">
        <v>74</v>
      </c>
      <c r="BM432" s="1" t="s">
        <v>74</v>
      </c>
      <c r="BN432" s="1" t="s">
        <v>74</v>
      </c>
      <c r="BO432" s="1" t="s">
        <v>74</v>
      </c>
      <c r="BP432" s="1" t="s">
        <v>74</v>
      </c>
      <c r="BQ432" s="1" t="s">
        <v>74</v>
      </c>
      <c r="BR432" s="1" t="s">
        <v>74</v>
      </c>
      <c r="BS432" s="1" t="s">
        <v>4524</v>
      </c>
      <c r="BT432" s="1" t="str">
        <f>HYPERLINK("https%3A%2F%2Fwww.webofscience.com%2Fwos%2Fwoscc%2Ffull-record%2FWOS:000832292000023","View Full Record in Web of Science")</f>
        <v>View Full Record in Web of Science</v>
      </c>
    </row>
    <row r="433" ht="12.75" customHeight="1">
      <c r="A433" s="1" t="s">
        <v>72</v>
      </c>
      <c r="B433" s="1" t="s">
        <v>4525</v>
      </c>
      <c r="C433" s="1" t="s">
        <v>74</v>
      </c>
      <c r="D433" s="1" t="s">
        <v>74</v>
      </c>
      <c r="E433" s="1" t="s">
        <v>74</v>
      </c>
      <c r="F433" s="1" t="s">
        <v>4526</v>
      </c>
      <c r="G433" s="1" t="s">
        <v>74</v>
      </c>
      <c r="H433" s="1" t="s">
        <v>74</v>
      </c>
      <c r="I433" s="1" t="s">
        <v>4527</v>
      </c>
      <c r="J433" s="1" t="s">
        <v>4528</v>
      </c>
      <c r="K433" s="1" t="s">
        <v>74</v>
      </c>
      <c r="L433" s="1" t="s">
        <v>74</v>
      </c>
      <c r="M433" s="1" t="s">
        <v>74</v>
      </c>
      <c r="N433" s="1" t="s">
        <v>74</v>
      </c>
      <c r="O433" s="1" t="s">
        <v>74</v>
      </c>
      <c r="P433" s="1" t="s">
        <v>74</v>
      </c>
      <c r="Q433" s="1" t="s">
        <v>74</v>
      </c>
      <c r="R433" s="1" t="s">
        <v>74</v>
      </c>
      <c r="S433" s="1" t="s">
        <v>74</v>
      </c>
      <c r="T433" s="1" t="s">
        <v>74</v>
      </c>
      <c r="U433" s="1" t="s">
        <v>74</v>
      </c>
      <c r="V433" s="1" t="s">
        <v>4529</v>
      </c>
      <c r="W433" s="1" t="s">
        <v>74</v>
      </c>
      <c r="X433" s="1" t="s">
        <v>74</v>
      </c>
      <c r="Y433" s="1" t="s">
        <v>74</v>
      </c>
      <c r="Z433" s="1" t="s">
        <v>74</v>
      </c>
      <c r="AA433" s="1" t="s">
        <v>4530</v>
      </c>
      <c r="AB433" s="1" t="s">
        <v>4531</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4532</v>
      </c>
      <c r="AP433" s="1" t="s">
        <v>4533</v>
      </c>
      <c r="AQ433" s="1" t="s">
        <v>74</v>
      </c>
      <c r="AR433" s="1" t="s">
        <v>74</v>
      </c>
      <c r="AS433" s="1" t="s">
        <v>74</v>
      </c>
      <c r="AT433" s="1" t="s">
        <v>4534</v>
      </c>
      <c r="AU433" s="1">
        <v>2014.0</v>
      </c>
      <c r="AV433" s="1">
        <v>119.0</v>
      </c>
      <c r="AW433" s="1">
        <v>19.0</v>
      </c>
      <c r="AX433" s="1" t="s">
        <v>74</v>
      </c>
      <c r="AY433" s="1" t="s">
        <v>74</v>
      </c>
      <c r="AZ433" s="1" t="s">
        <v>74</v>
      </c>
      <c r="BA433" s="1" t="s">
        <v>74</v>
      </c>
      <c r="BB433" s="1">
        <v>11429.0</v>
      </c>
      <c r="BC433" s="1">
        <v>11444.0</v>
      </c>
      <c r="BD433" s="1" t="s">
        <v>74</v>
      </c>
      <c r="BE433" s="1" t="s">
        <v>4535</v>
      </c>
      <c r="BF433" s="2" t="str">
        <f>HYPERLINK("http://dx.doi.org/10.1002/2014JD021698","http://dx.doi.org/10.1002/2014JD021698")</f>
        <v>http://dx.doi.org/10.1002/2014JD021698</v>
      </c>
      <c r="BG433" s="1" t="s">
        <v>74</v>
      </c>
      <c r="BH433" s="1" t="s">
        <v>74</v>
      </c>
      <c r="BI433" s="1" t="s">
        <v>74</v>
      </c>
      <c r="BJ433" s="1" t="s">
        <v>74</v>
      </c>
      <c r="BK433" s="1" t="s">
        <v>74</v>
      </c>
      <c r="BL433" s="1" t="s">
        <v>74</v>
      </c>
      <c r="BM433" s="1" t="s">
        <v>74</v>
      </c>
      <c r="BN433" s="1" t="s">
        <v>74</v>
      </c>
      <c r="BO433" s="1" t="s">
        <v>74</v>
      </c>
      <c r="BP433" s="1" t="s">
        <v>74</v>
      </c>
      <c r="BQ433" s="1" t="s">
        <v>74</v>
      </c>
      <c r="BR433" s="1" t="s">
        <v>74</v>
      </c>
      <c r="BS433" s="1" t="s">
        <v>4536</v>
      </c>
      <c r="BT433" s="1" t="str">
        <f>HYPERLINK("https%3A%2F%2Fwww.webofscience.com%2Fwos%2Fwoscc%2Ffull-record%2FWOS:000344053400028","View Full Record in Web of Science")</f>
        <v>View Full Record in Web of Science</v>
      </c>
    </row>
    <row r="434" ht="12.75" customHeight="1">
      <c r="A434" s="1" t="s">
        <v>72</v>
      </c>
      <c r="B434" s="1" t="s">
        <v>4537</v>
      </c>
      <c r="C434" s="1" t="s">
        <v>74</v>
      </c>
      <c r="D434" s="1" t="s">
        <v>74</v>
      </c>
      <c r="E434" s="1" t="s">
        <v>74</v>
      </c>
      <c r="F434" s="1" t="s">
        <v>4538</v>
      </c>
      <c r="G434" s="1" t="s">
        <v>74</v>
      </c>
      <c r="H434" s="1" t="s">
        <v>74</v>
      </c>
      <c r="I434" s="1" t="s">
        <v>4539</v>
      </c>
      <c r="J434" s="1" t="s">
        <v>4540</v>
      </c>
      <c r="K434" s="1" t="s">
        <v>74</v>
      </c>
      <c r="L434" s="1" t="s">
        <v>74</v>
      </c>
      <c r="M434" s="1" t="s">
        <v>74</v>
      </c>
      <c r="N434" s="1" t="s">
        <v>74</v>
      </c>
      <c r="O434" s="1" t="s">
        <v>74</v>
      </c>
      <c r="P434" s="1" t="s">
        <v>74</v>
      </c>
      <c r="Q434" s="1" t="s">
        <v>74</v>
      </c>
      <c r="R434" s="1" t="s">
        <v>74</v>
      </c>
      <c r="S434" s="1" t="s">
        <v>74</v>
      </c>
      <c r="T434" s="1" t="s">
        <v>74</v>
      </c>
      <c r="U434" s="1" t="s">
        <v>74</v>
      </c>
      <c r="V434" s="1" t="s">
        <v>4541</v>
      </c>
      <c r="W434" s="1" t="s">
        <v>74</v>
      </c>
      <c r="X434" s="1" t="s">
        <v>74</v>
      </c>
      <c r="Y434" s="1" t="s">
        <v>74</v>
      </c>
      <c r="Z434" s="1" t="s">
        <v>74</v>
      </c>
      <c r="AA434" s="1" t="s">
        <v>4542</v>
      </c>
      <c r="AB434" s="1" t="s">
        <v>4543</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4544</v>
      </c>
      <c r="AP434" s="1" t="s">
        <v>4545</v>
      </c>
      <c r="AQ434" s="1" t="s">
        <v>74</v>
      </c>
      <c r="AR434" s="1" t="s">
        <v>74</v>
      </c>
      <c r="AS434" s="1" t="s">
        <v>74</v>
      </c>
      <c r="AT434" s="1" t="s">
        <v>4546</v>
      </c>
      <c r="AU434" s="1">
        <v>2024.0</v>
      </c>
      <c r="AV434" s="1">
        <v>36.0</v>
      </c>
      <c r="AW434" s="1">
        <v>12.0</v>
      </c>
      <c r="AX434" s="1" t="s">
        <v>74</v>
      </c>
      <c r="AY434" s="1" t="s">
        <v>74</v>
      </c>
      <c r="AZ434" s="1" t="s">
        <v>74</v>
      </c>
      <c r="BA434" s="1" t="s">
        <v>74</v>
      </c>
      <c r="BB434" s="1" t="s">
        <v>74</v>
      </c>
      <c r="BC434" s="1" t="s">
        <v>74</v>
      </c>
      <c r="BD434" s="1" t="s">
        <v>74</v>
      </c>
      <c r="BE434" s="1" t="s">
        <v>4547</v>
      </c>
      <c r="BF434" s="2" t="str">
        <f>HYPERLINK("http://dx.doi.org/10.1002/cpe.8032","http://dx.doi.org/10.1002/cpe.8032")</f>
        <v>http://dx.doi.org/10.1002/cpe.8032</v>
      </c>
      <c r="BG434" s="1" t="s">
        <v>74</v>
      </c>
      <c r="BH434" s="1" t="s">
        <v>1329</v>
      </c>
      <c r="BI434" s="1" t="s">
        <v>74</v>
      </c>
      <c r="BJ434" s="1" t="s">
        <v>74</v>
      </c>
      <c r="BK434" s="1" t="s">
        <v>74</v>
      </c>
      <c r="BL434" s="1" t="s">
        <v>74</v>
      </c>
      <c r="BM434" s="1" t="s">
        <v>74</v>
      </c>
      <c r="BN434" s="1" t="s">
        <v>74</v>
      </c>
      <c r="BO434" s="1" t="s">
        <v>74</v>
      </c>
      <c r="BP434" s="1" t="s">
        <v>74</v>
      </c>
      <c r="BQ434" s="1" t="s">
        <v>74</v>
      </c>
      <c r="BR434" s="1" t="s">
        <v>74</v>
      </c>
      <c r="BS434" s="1" t="s">
        <v>4548</v>
      </c>
      <c r="BT434" s="1" t="str">
        <f>HYPERLINK("https%3A%2F%2Fwww.webofscience.com%2Fwos%2Fwoscc%2Ffull-record%2FWOS:001174859000001","View Full Record in Web of Science")</f>
        <v>View Full Record in Web of Science</v>
      </c>
    </row>
    <row r="435" ht="12.75" customHeight="1">
      <c r="A435" s="1" t="s">
        <v>72</v>
      </c>
      <c r="B435" s="1" t="s">
        <v>4549</v>
      </c>
      <c r="C435" s="1" t="s">
        <v>74</v>
      </c>
      <c r="D435" s="1" t="s">
        <v>74</v>
      </c>
      <c r="E435" s="1" t="s">
        <v>74</v>
      </c>
      <c r="F435" s="1" t="s">
        <v>4550</v>
      </c>
      <c r="G435" s="1" t="s">
        <v>74</v>
      </c>
      <c r="H435" s="1" t="s">
        <v>74</v>
      </c>
      <c r="I435" s="1" t="s">
        <v>4551</v>
      </c>
      <c r="J435" s="1" t="s">
        <v>4552</v>
      </c>
      <c r="K435" s="1" t="s">
        <v>74</v>
      </c>
      <c r="L435" s="1" t="s">
        <v>74</v>
      </c>
      <c r="M435" s="1" t="s">
        <v>74</v>
      </c>
      <c r="N435" s="1" t="s">
        <v>74</v>
      </c>
      <c r="O435" s="1" t="s">
        <v>74</v>
      </c>
      <c r="P435" s="1" t="s">
        <v>74</v>
      </c>
      <c r="Q435" s="1" t="s">
        <v>74</v>
      </c>
      <c r="R435" s="1" t="s">
        <v>74</v>
      </c>
      <c r="S435" s="1" t="s">
        <v>74</v>
      </c>
      <c r="T435" s="1" t="s">
        <v>74</v>
      </c>
      <c r="U435" s="1" t="s">
        <v>74</v>
      </c>
      <c r="V435" s="1" t="s">
        <v>4553</v>
      </c>
      <c r="W435" s="1" t="s">
        <v>74</v>
      </c>
      <c r="X435" s="1" t="s">
        <v>74</v>
      </c>
      <c r="Y435" s="1" t="s">
        <v>74</v>
      </c>
      <c r="Z435" s="1" t="s">
        <v>74</v>
      </c>
      <c r="AA435" s="1" t="s">
        <v>4554</v>
      </c>
      <c r="AB435" s="1" t="s">
        <v>4555</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4556</v>
      </c>
      <c r="AP435" s="1" t="s">
        <v>74</v>
      </c>
      <c r="AQ435" s="1" t="s">
        <v>74</v>
      </c>
      <c r="AR435" s="1" t="s">
        <v>74</v>
      </c>
      <c r="AS435" s="1" t="s">
        <v>74</v>
      </c>
      <c r="AT435" s="1" t="s">
        <v>4557</v>
      </c>
      <c r="AU435" s="1">
        <v>2023.0</v>
      </c>
      <c r="AV435" s="1">
        <v>5.0</v>
      </c>
      <c r="AW435" s="1">
        <v>8.0</v>
      </c>
      <c r="AX435" s="1" t="s">
        <v>74</v>
      </c>
      <c r="AY435" s="1" t="s">
        <v>74</v>
      </c>
      <c r="AZ435" s="1" t="s">
        <v>74</v>
      </c>
      <c r="BA435" s="1" t="s">
        <v>74</v>
      </c>
      <c r="BB435" s="1">
        <v>5926.0</v>
      </c>
      <c r="BC435" s="1">
        <v>5936.0</v>
      </c>
      <c r="BD435" s="1" t="s">
        <v>74</v>
      </c>
      <c r="BE435" s="1" t="s">
        <v>4558</v>
      </c>
      <c r="BF435" s="2" t="str">
        <f>HYPERLINK("http://dx.doi.org/10.1021/acsapm.3c00589","http://dx.doi.org/10.1021/acsapm.3c00589")</f>
        <v>http://dx.doi.org/10.1021/acsapm.3c00589</v>
      </c>
      <c r="BG435" s="1" t="s">
        <v>74</v>
      </c>
      <c r="BH435" s="1" t="s">
        <v>3540</v>
      </c>
      <c r="BI435" s="1" t="s">
        <v>74</v>
      </c>
      <c r="BJ435" s="1" t="s">
        <v>74</v>
      </c>
      <c r="BK435" s="1" t="s">
        <v>74</v>
      </c>
      <c r="BL435" s="1" t="s">
        <v>74</v>
      </c>
      <c r="BM435" s="1" t="s">
        <v>74</v>
      </c>
      <c r="BN435" s="1" t="s">
        <v>74</v>
      </c>
      <c r="BO435" s="1" t="s">
        <v>74</v>
      </c>
      <c r="BP435" s="1" t="s">
        <v>74</v>
      </c>
      <c r="BQ435" s="1" t="s">
        <v>74</v>
      </c>
      <c r="BR435" s="1" t="s">
        <v>74</v>
      </c>
      <c r="BS435" s="1" t="s">
        <v>4559</v>
      </c>
      <c r="BT435" s="1" t="str">
        <f>HYPERLINK("https%3A%2F%2Fwww.webofscience.com%2Fwos%2Fwoscc%2Ffull-record%2FWOS:001030514100001","View Full Record in Web of Science")</f>
        <v>View Full Record in Web of Science</v>
      </c>
    </row>
    <row r="436" ht="12.75" customHeight="1">
      <c r="A436" s="1" t="s">
        <v>72</v>
      </c>
      <c r="B436" s="1" t="s">
        <v>4560</v>
      </c>
      <c r="C436" s="1" t="s">
        <v>74</v>
      </c>
      <c r="D436" s="1" t="s">
        <v>74</v>
      </c>
      <c r="E436" s="1" t="s">
        <v>74</v>
      </c>
      <c r="F436" s="1" t="s">
        <v>4561</v>
      </c>
      <c r="G436" s="1" t="s">
        <v>74</v>
      </c>
      <c r="H436" s="1" t="s">
        <v>74</v>
      </c>
      <c r="I436" s="1" t="s">
        <v>4562</v>
      </c>
      <c r="J436" s="1" t="s">
        <v>4563</v>
      </c>
      <c r="K436" s="1" t="s">
        <v>74</v>
      </c>
      <c r="L436" s="1" t="s">
        <v>74</v>
      </c>
      <c r="M436" s="1" t="s">
        <v>74</v>
      </c>
      <c r="N436" s="1" t="s">
        <v>74</v>
      </c>
      <c r="O436" s="1" t="s">
        <v>74</v>
      </c>
      <c r="P436" s="1" t="s">
        <v>74</v>
      </c>
      <c r="Q436" s="1" t="s">
        <v>74</v>
      </c>
      <c r="R436" s="1" t="s">
        <v>74</v>
      </c>
      <c r="S436" s="1" t="s">
        <v>74</v>
      </c>
      <c r="T436" s="1" t="s">
        <v>74</v>
      </c>
      <c r="U436" s="1" t="s">
        <v>74</v>
      </c>
      <c r="V436" s="1" t="s">
        <v>4564</v>
      </c>
      <c r="W436" s="1" t="s">
        <v>74</v>
      </c>
      <c r="X436" s="1" t="s">
        <v>74</v>
      </c>
      <c r="Y436" s="1" t="s">
        <v>74</v>
      </c>
      <c r="Z436" s="1" t="s">
        <v>74</v>
      </c>
      <c r="AA436" s="1" t="s">
        <v>4565</v>
      </c>
      <c r="AB436" s="1" t="s">
        <v>4566</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4567</v>
      </c>
      <c r="AP436" s="1" t="s">
        <v>4568</v>
      </c>
      <c r="AQ436" s="1" t="s">
        <v>74</v>
      </c>
      <c r="AR436" s="1" t="s">
        <v>74</v>
      </c>
      <c r="AS436" s="1" t="s">
        <v>74</v>
      </c>
      <c r="AT436" s="1" t="s">
        <v>2951</v>
      </c>
      <c r="AU436" s="1">
        <v>2021.0</v>
      </c>
      <c r="AV436" s="1">
        <v>15.0</v>
      </c>
      <c r="AW436" s="1">
        <v>1.0</v>
      </c>
      <c r="AX436" s="1" t="s">
        <v>74</v>
      </c>
      <c r="AY436" s="1" t="s">
        <v>74</v>
      </c>
      <c r="AZ436" s="1" t="s">
        <v>74</v>
      </c>
      <c r="BA436" s="1" t="s">
        <v>74</v>
      </c>
      <c r="BB436" s="1">
        <v>133.0</v>
      </c>
      <c r="BC436" s="1">
        <v>148.0</v>
      </c>
      <c r="BD436" s="1" t="s">
        <v>74</v>
      </c>
      <c r="BE436" s="1" t="s">
        <v>4569</v>
      </c>
      <c r="BF436" s="2" t="str">
        <f>HYPERLINK("http://dx.doi.org/10.5194/tc-15-133-2021","http://dx.doi.org/10.5194/tc-15-133-2021")</f>
        <v>http://dx.doi.org/10.5194/tc-15-133-2021</v>
      </c>
      <c r="BG436" s="1" t="s">
        <v>74</v>
      </c>
      <c r="BH436" s="1" t="s">
        <v>74</v>
      </c>
      <c r="BI436" s="1" t="s">
        <v>74</v>
      </c>
      <c r="BJ436" s="1" t="s">
        <v>74</v>
      </c>
      <c r="BK436" s="1" t="s">
        <v>74</v>
      </c>
      <c r="BL436" s="1" t="s">
        <v>74</v>
      </c>
      <c r="BM436" s="1" t="s">
        <v>74</v>
      </c>
      <c r="BN436" s="1" t="s">
        <v>74</v>
      </c>
      <c r="BO436" s="1" t="s">
        <v>74</v>
      </c>
      <c r="BP436" s="1" t="s">
        <v>74</v>
      </c>
      <c r="BQ436" s="1" t="s">
        <v>74</v>
      </c>
      <c r="BR436" s="1" t="s">
        <v>74</v>
      </c>
      <c r="BS436" s="1" t="s">
        <v>4570</v>
      </c>
      <c r="BT436" s="1" t="str">
        <f>HYPERLINK("https%3A%2F%2Fwww.webofscience.com%2Fwos%2Fwoscc%2Ffull-record%2FWOS:000610932700001","View Full Record in Web of Science")</f>
        <v>View Full Record in Web of Science</v>
      </c>
    </row>
    <row r="437" ht="12.75" customHeight="1">
      <c r="A437" s="1" t="s">
        <v>72</v>
      </c>
      <c r="B437" s="1" t="s">
        <v>4571</v>
      </c>
      <c r="C437" s="1" t="s">
        <v>74</v>
      </c>
      <c r="D437" s="1" t="s">
        <v>74</v>
      </c>
      <c r="E437" s="1" t="s">
        <v>74</v>
      </c>
      <c r="F437" s="1" t="s">
        <v>4572</v>
      </c>
      <c r="G437" s="1" t="s">
        <v>74</v>
      </c>
      <c r="H437" s="1" t="s">
        <v>74</v>
      </c>
      <c r="I437" s="1" t="s">
        <v>4573</v>
      </c>
      <c r="J437" s="1" t="s">
        <v>4574</v>
      </c>
      <c r="K437" s="1" t="s">
        <v>74</v>
      </c>
      <c r="L437" s="1" t="s">
        <v>74</v>
      </c>
      <c r="M437" s="1" t="s">
        <v>74</v>
      </c>
      <c r="N437" s="1" t="s">
        <v>74</v>
      </c>
      <c r="O437" s="1" t="s">
        <v>74</v>
      </c>
      <c r="P437" s="1" t="s">
        <v>74</v>
      </c>
      <c r="Q437" s="1" t="s">
        <v>74</v>
      </c>
      <c r="R437" s="1" t="s">
        <v>74</v>
      </c>
      <c r="S437" s="1" t="s">
        <v>74</v>
      </c>
      <c r="T437" s="1" t="s">
        <v>74</v>
      </c>
      <c r="U437" s="1" t="s">
        <v>74</v>
      </c>
      <c r="V437" s="1" t="s">
        <v>4575</v>
      </c>
      <c r="W437" s="1" t="s">
        <v>74</v>
      </c>
      <c r="X437" s="1" t="s">
        <v>74</v>
      </c>
      <c r="Y437" s="1" t="s">
        <v>74</v>
      </c>
      <c r="Z437" s="1" t="s">
        <v>74</v>
      </c>
      <c r="AA437" s="1" t="s">
        <v>4576</v>
      </c>
      <c r="AB437" s="1" t="s">
        <v>4577</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4578</v>
      </c>
      <c r="AP437" s="1" t="s">
        <v>4579</v>
      </c>
      <c r="AQ437" s="1" t="s">
        <v>74</v>
      </c>
      <c r="AR437" s="1" t="s">
        <v>74</v>
      </c>
      <c r="AS437" s="1" t="s">
        <v>74</v>
      </c>
      <c r="AT437" s="1" t="s">
        <v>4580</v>
      </c>
      <c r="AU437" s="1">
        <v>2021.0</v>
      </c>
      <c r="AV437" s="1">
        <v>36.0</v>
      </c>
      <c r="AW437" s="1">
        <v>1.0</v>
      </c>
      <c r="AX437" s="1" t="s">
        <v>74</v>
      </c>
      <c r="AY437" s="1" t="s">
        <v>74</v>
      </c>
      <c r="AZ437" s="1" t="s">
        <v>74</v>
      </c>
      <c r="BA437" s="1" t="s">
        <v>74</v>
      </c>
      <c r="BB437" s="1">
        <v>154.0</v>
      </c>
      <c r="BC437" s="1">
        <v>162.0</v>
      </c>
      <c r="BD437" s="1" t="s">
        <v>74</v>
      </c>
      <c r="BE437" s="1" t="s">
        <v>4581</v>
      </c>
      <c r="BF437" s="2" t="str">
        <f>HYPERLINK("http://dx.doi.org/10.1080/14756366.2020.1851216","http://dx.doi.org/10.1080/14756366.2020.1851216")</f>
        <v>http://dx.doi.org/10.1080/14756366.2020.1851216</v>
      </c>
      <c r="BG437" s="1" t="s">
        <v>74</v>
      </c>
      <c r="BH437" s="1" t="s">
        <v>74</v>
      </c>
      <c r="BI437" s="1" t="s">
        <v>74</v>
      </c>
      <c r="BJ437" s="1" t="s">
        <v>74</v>
      </c>
      <c r="BK437" s="1" t="s">
        <v>74</v>
      </c>
      <c r="BL437" s="1" t="s">
        <v>74</v>
      </c>
      <c r="BM437" s="1" t="s">
        <v>74</v>
      </c>
      <c r="BN437" s="1">
        <v>3.3307873E7</v>
      </c>
      <c r="BO437" s="1" t="s">
        <v>74</v>
      </c>
      <c r="BP437" s="1" t="s">
        <v>74</v>
      </c>
      <c r="BQ437" s="1" t="s">
        <v>74</v>
      </c>
      <c r="BR437" s="1" t="s">
        <v>74</v>
      </c>
      <c r="BS437" s="1" t="s">
        <v>4582</v>
      </c>
      <c r="BT437" s="1" t="str">
        <f>HYPERLINK("https%3A%2F%2Fwww.webofscience.com%2Fwos%2Fwoscc%2Ffull-record%2FWOS:000598247400001","View Full Record in Web of Science")</f>
        <v>View Full Record in Web of Science</v>
      </c>
    </row>
    <row r="438" ht="12.75" customHeight="1">
      <c r="A438" s="1" t="s">
        <v>72</v>
      </c>
      <c r="B438" s="1" t="s">
        <v>4583</v>
      </c>
      <c r="C438" s="1" t="s">
        <v>74</v>
      </c>
      <c r="D438" s="1" t="s">
        <v>74</v>
      </c>
      <c r="E438" s="1" t="s">
        <v>74</v>
      </c>
      <c r="F438" s="1" t="s">
        <v>4584</v>
      </c>
      <c r="G438" s="1" t="s">
        <v>74</v>
      </c>
      <c r="H438" s="1" t="s">
        <v>74</v>
      </c>
      <c r="I438" s="1" t="s">
        <v>4585</v>
      </c>
      <c r="J438" s="1" t="s">
        <v>4586</v>
      </c>
      <c r="K438" s="1" t="s">
        <v>74</v>
      </c>
      <c r="L438" s="1" t="s">
        <v>74</v>
      </c>
      <c r="M438" s="1" t="s">
        <v>74</v>
      </c>
      <c r="N438" s="1" t="s">
        <v>74</v>
      </c>
      <c r="O438" s="1" t="s">
        <v>74</v>
      </c>
      <c r="P438" s="1" t="s">
        <v>74</v>
      </c>
      <c r="Q438" s="1" t="s">
        <v>74</v>
      </c>
      <c r="R438" s="1" t="s">
        <v>74</v>
      </c>
      <c r="S438" s="1" t="s">
        <v>74</v>
      </c>
      <c r="T438" s="1" t="s">
        <v>74</v>
      </c>
      <c r="U438" s="1" t="s">
        <v>74</v>
      </c>
      <c r="V438" s="1" t="s">
        <v>74</v>
      </c>
      <c r="W438" s="1" t="s">
        <v>74</v>
      </c>
      <c r="X438" s="1" t="s">
        <v>74</v>
      </c>
      <c r="Y438" s="1" t="s">
        <v>74</v>
      </c>
      <c r="Z438" s="1" t="s">
        <v>74</v>
      </c>
      <c r="AA438" s="1" t="s">
        <v>4587</v>
      </c>
      <c r="AB438" s="1" t="s">
        <v>4588</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4589</v>
      </c>
      <c r="AP438" s="1" t="s">
        <v>4590</v>
      </c>
      <c r="AQ438" s="1" t="s">
        <v>74</v>
      </c>
      <c r="AR438" s="1" t="s">
        <v>74</v>
      </c>
      <c r="AS438" s="1" t="s">
        <v>74</v>
      </c>
      <c r="AT438" s="1" t="s">
        <v>94</v>
      </c>
      <c r="AU438" s="1">
        <v>2020.0</v>
      </c>
      <c r="AV438" s="1">
        <v>14.0</v>
      </c>
      <c r="AW438" s="1">
        <v>4.0</v>
      </c>
      <c r="AX438" s="1" t="s">
        <v>74</v>
      </c>
      <c r="AY438" s="1" t="s">
        <v>74</v>
      </c>
      <c r="AZ438" s="1" t="s">
        <v>74</v>
      </c>
      <c r="BA438" s="1" t="s">
        <v>74</v>
      </c>
      <c r="BB438" s="1">
        <v>53.0</v>
      </c>
      <c r="BC438" s="1">
        <v>64.0</v>
      </c>
      <c r="BD438" s="1" t="s">
        <v>74</v>
      </c>
      <c r="BE438" s="1" t="s">
        <v>4591</v>
      </c>
      <c r="BF438" s="2" t="str">
        <f>HYPERLINK("http://dx.doi.org/10.1109/MIE.2020.2990353","http://dx.doi.org/10.1109/MIE.2020.2990353")</f>
        <v>http://dx.doi.org/10.1109/MIE.2020.2990353</v>
      </c>
      <c r="BG438" s="1" t="s">
        <v>74</v>
      </c>
      <c r="BH438" s="1" t="s">
        <v>74</v>
      </c>
      <c r="BI438" s="1" t="s">
        <v>74</v>
      </c>
      <c r="BJ438" s="1" t="s">
        <v>74</v>
      </c>
      <c r="BK438" s="1" t="s">
        <v>74</v>
      </c>
      <c r="BL438" s="1" t="s">
        <v>74</v>
      </c>
      <c r="BM438" s="1" t="s">
        <v>74</v>
      </c>
      <c r="BN438" s="1" t="s">
        <v>74</v>
      </c>
      <c r="BO438" s="1" t="s">
        <v>74</v>
      </c>
      <c r="BP438" s="1" t="s">
        <v>74</v>
      </c>
      <c r="BQ438" s="1" t="s">
        <v>74</v>
      </c>
      <c r="BR438" s="1" t="s">
        <v>74</v>
      </c>
      <c r="BS438" s="1" t="s">
        <v>4592</v>
      </c>
      <c r="BT438" s="1" t="str">
        <f>HYPERLINK("https%3A%2F%2Fwww.webofscience.com%2Fwos%2Fwoscc%2Ffull-record%2FWOS:000600836500004","View Full Record in Web of Science")</f>
        <v>View Full Record in Web of Science</v>
      </c>
    </row>
    <row r="439" ht="12.75" customHeight="1">
      <c r="A439" s="1" t="s">
        <v>72</v>
      </c>
      <c r="B439" s="1" t="s">
        <v>4593</v>
      </c>
      <c r="C439" s="1" t="s">
        <v>74</v>
      </c>
      <c r="D439" s="1" t="s">
        <v>74</v>
      </c>
      <c r="E439" s="1" t="s">
        <v>74</v>
      </c>
      <c r="F439" s="1" t="s">
        <v>4594</v>
      </c>
      <c r="G439" s="1" t="s">
        <v>74</v>
      </c>
      <c r="H439" s="1" t="s">
        <v>74</v>
      </c>
      <c r="I439" s="1" t="s">
        <v>4595</v>
      </c>
      <c r="J439" s="1" t="s">
        <v>4596</v>
      </c>
      <c r="K439" s="1" t="s">
        <v>74</v>
      </c>
      <c r="L439" s="1" t="s">
        <v>74</v>
      </c>
      <c r="M439" s="1" t="s">
        <v>74</v>
      </c>
      <c r="N439" s="1" t="s">
        <v>74</v>
      </c>
      <c r="O439" s="1" t="s">
        <v>74</v>
      </c>
      <c r="P439" s="1" t="s">
        <v>74</v>
      </c>
      <c r="Q439" s="1" t="s">
        <v>74</v>
      </c>
      <c r="R439" s="1" t="s">
        <v>74</v>
      </c>
      <c r="S439" s="1" t="s">
        <v>74</v>
      </c>
      <c r="T439" s="1" t="s">
        <v>74</v>
      </c>
      <c r="U439" s="1" t="s">
        <v>74</v>
      </c>
      <c r="V439" s="1" t="s">
        <v>4597</v>
      </c>
      <c r="W439" s="1" t="s">
        <v>74</v>
      </c>
      <c r="X439" s="1" t="s">
        <v>74</v>
      </c>
      <c r="Y439" s="1" t="s">
        <v>74</v>
      </c>
      <c r="Z439" s="1" t="s">
        <v>74</v>
      </c>
      <c r="AA439" s="1" t="s">
        <v>4598</v>
      </c>
      <c r="AB439" s="1" t="s">
        <v>4599</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4600</v>
      </c>
      <c r="AP439" s="1" t="s">
        <v>4601</v>
      </c>
      <c r="AQ439" s="1" t="s">
        <v>74</v>
      </c>
      <c r="AR439" s="1" t="s">
        <v>74</v>
      </c>
      <c r="AS439" s="1" t="s">
        <v>74</v>
      </c>
      <c r="AT439" s="1" t="s">
        <v>264</v>
      </c>
      <c r="AU439" s="1">
        <v>2025.0</v>
      </c>
      <c r="AV439" s="1">
        <v>22.0</v>
      </c>
      <c r="AW439" s="1">
        <v>1.0</v>
      </c>
      <c r="AX439" s="1" t="s">
        <v>74</v>
      </c>
      <c r="AY439" s="1" t="s">
        <v>74</v>
      </c>
      <c r="AZ439" s="1" t="s">
        <v>74</v>
      </c>
      <c r="BA439" s="1" t="s">
        <v>74</v>
      </c>
      <c r="BB439" s="1">
        <v>132.0</v>
      </c>
      <c r="BC439" s="1">
        <v>140.0</v>
      </c>
      <c r="BD439" s="1" t="s">
        <v>74</v>
      </c>
      <c r="BE439" s="1" t="s">
        <v>4602</v>
      </c>
      <c r="BF439" s="2" t="str">
        <f>HYPERLINK("http://dx.doi.org/10.1123/jpah.2024-0073","http://dx.doi.org/10.1123/jpah.2024-0073")</f>
        <v>http://dx.doi.org/10.1123/jpah.2024-0073</v>
      </c>
      <c r="BG439" s="1" t="s">
        <v>74</v>
      </c>
      <c r="BH439" s="1" t="s">
        <v>74</v>
      </c>
      <c r="BI439" s="1" t="s">
        <v>74</v>
      </c>
      <c r="BJ439" s="1" t="s">
        <v>74</v>
      </c>
      <c r="BK439" s="1" t="s">
        <v>74</v>
      </c>
      <c r="BL439" s="1" t="s">
        <v>74</v>
      </c>
      <c r="BM439" s="1" t="s">
        <v>74</v>
      </c>
      <c r="BN439" s="1">
        <v>3.9481364E7</v>
      </c>
      <c r="BO439" s="1" t="s">
        <v>74</v>
      </c>
      <c r="BP439" s="1" t="s">
        <v>74</v>
      </c>
      <c r="BQ439" s="1" t="s">
        <v>74</v>
      </c>
      <c r="BR439" s="1" t="s">
        <v>74</v>
      </c>
      <c r="BS439" s="1" t="s">
        <v>4603</v>
      </c>
      <c r="BT439" s="1" t="str">
        <f>HYPERLINK("https%3A%2F%2Fwww.webofscience.com%2Fwos%2Fwoscc%2Ffull-record%2FWOS:001457410400012","View Full Record in Web of Science")</f>
        <v>View Full Record in Web of Science</v>
      </c>
    </row>
    <row r="440" ht="12.75" customHeight="1">
      <c r="A440" s="1" t="s">
        <v>72</v>
      </c>
      <c r="B440" s="1" t="s">
        <v>4604</v>
      </c>
      <c r="C440" s="1" t="s">
        <v>74</v>
      </c>
      <c r="D440" s="1" t="s">
        <v>74</v>
      </c>
      <c r="E440" s="1" t="s">
        <v>74</v>
      </c>
      <c r="F440" s="1" t="s">
        <v>4605</v>
      </c>
      <c r="G440" s="1" t="s">
        <v>74</v>
      </c>
      <c r="H440" s="1" t="s">
        <v>74</v>
      </c>
      <c r="I440" s="1" t="s">
        <v>4606</v>
      </c>
      <c r="J440" s="1" t="s">
        <v>136</v>
      </c>
      <c r="K440" s="1" t="s">
        <v>74</v>
      </c>
      <c r="L440" s="1" t="s">
        <v>74</v>
      </c>
      <c r="M440" s="1" t="s">
        <v>74</v>
      </c>
      <c r="N440" s="1" t="s">
        <v>74</v>
      </c>
      <c r="O440" s="1" t="s">
        <v>74</v>
      </c>
      <c r="P440" s="1" t="s">
        <v>74</v>
      </c>
      <c r="Q440" s="1" t="s">
        <v>74</v>
      </c>
      <c r="R440" s="1" t="s">
        <v>74</v>
      </c>
      <c r="S440" s="1" t="s">
        <v>74</v>
      </c>
      <c r="T440" s="1" t="s">
        <v>74</v>
      </c>
      <c r="U440" s="1" t="s">
        <v>74</v>
      </c>
      <c r="V440" s="1" t="s">
        <v>4607</v>
      </c>
      <c r="W440" s="1" t="s">
        <v>74</v>
      </c>
      <c r="X440" s="1" t="s">
        <v>74</v>
      </c>
      <c r="Y440" s="1" t="s">
        <v>74</v>
      </c>
      <c r="Z440" s="1" t="s">
        <v>74</v>
      </c>
      <c r="AA440" s="1" t="s">
        <v>4608</v>
      </c>
      <c r="AB440" s="1" t="s">
        <v>4609</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74</v>
      </c>
      <c r="AP440" s="1" t="s">
        <v>140</v>
      </c>
      <c r="AQ440" s="1" t="s">
        <v>74</v>
      </c>
      <c r="AR440" s="1" t="s">
        <v>74</v>
      </c>
      <c r="AS440" s="1" t="s">
        <v>74</v>
      </c>
      <c r="AT440" s="1" t="s">
        <v>94</v>
      </c>
      <c r="AU440" s="1">
        <v>2023.0</v>
      </c>
      <c r="AV440" s="1">
        <v>12.0</v>
      </c>
      <c r="AW440" s="1">
        <v>23.0</v>
      </c>
      <c r="AX440" s="1" t="s">
        <v>74</v>
      </c>
      <c r="AY440" s="1" t="s">
        <v>74</v>
      </c>
      <c r="AZ440" s="1" t="s">
        <v>74</v>
      </c>
      <c r="BA440" s="1" t="s">
        <v>74</v>
      </c>
      <c r="BB440" s="1" t="s">
        <v>74</v>
      </c>
      <c r="BC440" s="1" t="s">
        <v>74</v>
      </c>
      <c r="BD440" s="1">
        <v>7223.0</v>
      </c>
      <c r="BE440" s="1" t="s">
        <v>4610</v>
      </c>
      <c r="BF440" s="2" t="str">
        <f>HYPERLINK("http://dx.doi.org/10.3390/jcm12237223","http://dx.doi.org/10.3390/jcm12237223")</f>
        <v>http://dx.doi.org/10.3390/jcm12237223</v>
      </c>
      <c r="BG440" s="1" t="s">
        <v>74</v>
      </c>
      <c r="BH440" s="1" t="s">
        <v>74</v>
      </c>
      <c r="BI440" s="1" t="s">
        <v>74</v>
      </c>
      <c r="BJ440" s="1" t="s">
        <v>74</v>
      </c>
      <c r="BK440" s="1" t="s">
        <v>74</v>
      </c>
      <c r="BL440" s="1" t="s">
        <v>74</v>
      </c>
      <c r="BM440" s="1" t="s">
        <v>74</v>
      </c>
      <c r="BN440" s="1">
        <v>3.8068275E7</v>
      </c>
      <c r="BO440" s="1" t="s">
        <v>74</v>
      </c>
      <c r="BP440" s="1" t="s">
        <v>74</v>
      </c>
      <c r="BQ440" s="1" t="s">
        <v>74</v>
      </c>
      <c r="BR440" s="1" t="s">
        <v>74</v>
      </c>
      <c r="BS440" s="1" t="s">
        <v>4611</v>
      </c>
      <c r="BT440" s="1" t="str">
        <f>HYPERLINK("https%3A%2F%2Fwww.webofscience.com%2Fwos%2Fwoscc%2Ffull-record%2FWOS:001116938300001","View Full Record in Web of Science")</f>
        <v>View Full Record in Web of Science</v>
      </c>
    </row>
    <row r="441" ht="12.75" customHeight="1">
      <c r="A441" s="1" t="s">
        <v>72</v>
      </c>
      <c r="B441" s="1" t="s">
        <v>4612</v>
      </c>
      <c r="C441" s="1" t="s">
        <v>74</v>
      </c>
      <c r="D441" s="1" t="s">
        <v>74</v>
      </c>
      <c r="E441" s="1" t="s">
        <v>74</v>
      </c>
      <c r="F441" s="1" t="s">
        <v>4613</v>
      </c>
      <c r="G441" s="1" t="s">
        <v>74</v>
      </c>
      <c r="H441" s="1" t="s">
        <v>74</v>
      </c>
      <c r="I441" s="1" t="s">
        <v>4614</v>
      </c>
      <c r="J441" s="1" t="s">
        <v>4615</v>
      </c>
      <c r="K441" s="1" t="s">
        <v>74</v>
      </c>
      <c r="L441" s="1" t="s">
        <v>74</v>
      </c>
      <c r="M441" s="1" t="s">
        <v>74</v>
      </c>
      <c r="N441" s="1" t="s">
        <v>74</v>
      </c>
      <c r="O441" s="1" t="s">
        <v>74</v>
      </c>
      <c r="P441" s="1" t="s">
        <v>74</v>
      </c>
      <c r="Q441" s="1" t="s">
        <v>74</v>
      </c>
      <c r="R441" s="1" t="s">
        <v>74</v>
      </c>
      <c r="S441" s="1" t="s">
        <v>74</v>
      </c>
      <c r="T441" s="1" t="s">
        <v>74</v>
      </c>
      <c r="U441" s="1" t="s">
        <v>74</v>
      </c>
      <c r="V441" s="1" t="s">
        <v>4616</v>
      </c>
      <c r="W441" s="1" t="s">
        <v>74</v>
      </c>
      <c r="X441" s="1" t="s">
        <v>74</v>
      </c>
      <c r="Y441" s="1" t="s">
        <v>74</v>
      </c>
      <c r="Z441" s="1" t="s">
        <v>74</v>
      </c>
      <c r="AA441" s="1" t="s">
        <v>4617</v>
      </c>
      <c r="AB441" s="1" t="s">
        <v>74</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4618</v>
      </c>
      <c r="AP441" s="1" t="s">
        <v>4619</v>
      </c>
      <c r="AQ441" s="1" t="s">
        <v>74</v>
      </c>
      <c r="AR441" s="1" t="s">
        <v>74</v>
      </c>
      <c r="AS441" s="1" t="s">
        <v>74</v>
      </c>
      <c r="AT441" s="1" t="s">
        <v>74</v>
      </c>
      <c r="AU441" s="1">
        <v>2023.0</v>
      </c>
      <c r="AV441" s="1">
        <v>43.0</v>
      </c>
      <c r="AW441" s="1">
        <v>2.0</v>
      </c>
      <c r="AX441" s="1" t="s">
        <v>74</v>
      </c>
      <c r="AY441" s="1" t="s">
        <v>74</v>
      </c>
      <c r="AZ441" s="1" t="s">
        <v>74</v>
      </c>
      <c r="BA441" s="1" t="s">
        <v>74</v>
      </c>
      <c r="BB441" s="1">
        <v>356.0</v>
      </c>
      <c r="BC441" s="1">
        <v>360.0</v>
      </c>
      <c r="BD441" s="1" t="s">
        <v>74</v>
      </c>
      <c r="BE441" s="1" t="s">
        <v>4620</v>
      </c>
      <c r="BF441" s="2" t="str">
        <f>HYPERLINK("http://dx.doi.org/10.29261/pakvetj/2023.040","http://dx.doi.org/10.29261/pakvetj/2023.040")</f>
        <v>http://dx.doi.org/10.29261/pakvetj/2023.040</v>
      </c>
      <c r="BG441" s="1" t="s">
        <v>74</v>
      </c>
      <c r="BH441" s="1" t="s">
        <v>74</v>
      </c>
      <c r="BI441" s="1" t="s">
        <v>74</v>
      </c>
      <c r="BJ441" s="1" t="s">
        <v>74</v>
      </c>
      <c r="BK441" s="1" t="s">
        <v>74</v>
      </c>
      <c r="BL441" s="1" t="s">
        <v>74</v>
      </c>
      <c r="BM441" s="1" t="s">
        <v>74</v>
      </c>
      <c r="BN441" s="1" t="s">
        <v>74</v>
      </c>
      <c r="BO441" s="1" t="s">
        <v>74</v>
      </c>
      <c r="BP441" s="1" t="s">
        <v>74</v>
      </c>
      <c r="BQ441" s="1" t="s">
        <v>74</v>
      </c>
      <c r="BR441" s="1" t="s">
        <v>74</v>
      </c>
      <c r="BS441" s="1" t="s">
        <v>4621</v>
      </c>
      <c r="BT441" s="1" t="str">
        <f>HYPERLINK("https%3A%2F%2Fwww.webofscience.com%2Fwos%2Fwoscc%2Ffull-record%2FWOS:001023505300022","View Full Record in Web of Science")</f>
        <v>View Full Record in Web of Science</v>
      </c>
    </row>
    <row r="442" ht="12.75" customHeight="1">
      <c r="A442" s="1" t="s">
        <v>72</v>
      </c>
      <c r="B442" s="1" t="s">
        <v>4622</v>
      </c>
      <c r="C442" s="1" t="s">
        <v>74</v>
      </c>
      <c r="D442" s="1" t="s">
        <v>74</v>
      </c>
      <c r="E442" s="1" t="s">
        <v>74</v>
      </c>
      <c r="F442" s="1" t="s">
        <v>4623</v>
      </c>
      <c r="G442" s="1" t="s">
        <v>74</v>
      </c>
      <c r="H442" s="1" t="s">
        <v>74</v>
      </c>
      <c r="I442" s="1" t="s">
        <v>4624</v>
      </c>
      <c r="J442" s="1" t="s">
        <v>4625</v>
      </c>
      <c r="K442" s="1" t="s">
        <v>74</v>
      </c>
      <c r="L442" s="1" t="s">
        <v>74</v>
      </c>
      <c r="M442" s="1" t="s">
        <v>74</v>
      </c>
      <c r="N442" s="1" t="s">
        <v>74</v>
      </c>
      <c r="O442" s="1" t="s">
        <v>74</v>
      </c>
      <c r="P442" s="1" t="s">
        <v>74</v>
      </c>
      <c r="Q442" s="1" t="s">
        <v>74</v>
      </c>
      <c r="R442" s="1" t="s">
        <v>74</v>
      </c>
      <c r="S442" s="1" t="s">
        <v>74</v>
      </c>
      <c r="T442" s="1" t="s">
        <v>74</v>
      </c>
      <c r="U442" s="1" t="s">
        <v>74</v>
      </c>
      <c r="V442" s="1" t="s">
        <v>4626</v>
      </c>
      <c r="W442" s="1" t="s">
        <v>74</v>
      </c>
      <c r="X442" s="1" t="s">
        <v>74</v>
      </c>
      <c r="Y442" s="1" t="s">
        <v>74</v>
      </c>
      <c r="Z442" s="1" t="s">
        <v>74</v>
      </c>
      <c r="AA442" s="1" t="s">
        <v>4627</v>
      </c>
      <c r="AB442" s="1" t="s">
        <v>4628</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4629</v>
      </c>
      <c r="AP442" s="1" t="s">
        <v>4630</v>
      </c>
      <c r="AQ442" s="1" t="s">
        <v>74</v>
      </c>
      <c r="AR442" s="1" t="s">
        <v>74</v>
      </c>
      <c r="AS442" s="1" t="s">
        <v>74</v>
      </c>
      <c r="AT442" s="1" t="s">
        <v>346</v>
      </c>
      <c r="AU442" s="1">
        <v>2007.0</v>
      </c>
      <c r="AV442" s="1">
        <v>141.0</v>
      </c>
      <c r="AW442" s="1">
        <v>10.0</v>
      </c>
      <c r="AX442" s="1" t="s">
        <v>74</v>
      </c>
      <c r="AY442" s="1" t="s">
        <v>74</v>
      </c>
      <c r="AZ442" s="1" t="s">
        <v>74</v>
      </c>
      <c r="BA442" s="1" t="s">
        <v>74</v>
      </c>
      <c r="BB442" s="1">
        <v>551.0</v>
      </c>
      <c r="BC442" s="1">
        <v>554.0</v>
      </c>
      <c r="BD442" s="1" t="s">
        <v>74</v>
      </c>
      <c r="BE442" s="1" t="s">
        <v>4631</v>
      </c>
      <c r="BF442" s="2" t="str">
        <f>HYPERLINK("http://dx.doi.org/10.1016/j.ssc.2006.12.019","http://dx.doi.org/10.1016/j.ssc.2006.12.019")</f>
        <v>http://dx.doi.org/10.1016/j.ssc.2006.12.019</v>
      </c>
      <c r="BG442" s="1" t="s">
        <v>74</v>
      </c>
      <c r="BH442" s="1" t="s">
        <v>74</v>
      </c>
      <c r="BI442" s="1" t="s">
        <v>74</v>
      </c>
      <c r="BJ442" s="1" t="s">
        <v>74</v>
      </c>
      <c r="BK442" s="1" t="s">
        <v>74</v>
      </c>
      <c r="BL442" s="1" t="s">
        <v>74</v>
      </c>
      <c r="BM442" s="1" t="s">
        <v>74</v>
      </c>
      <c r="BN442" s="1" t="s">
        <v>74</v>
      </c>
      <c r="BO442" s="1" t="s">
        <v>74</v>
      </c>
      <c r="BP442" s="1" t="s">
        <v>74</v>
      </c>
      <c r="BQ442" s="1" t="s">
        <v>74</v>
      </c>
      <c r="BR442" s="1" t="s">
        <v>74</v>
      </c>
      <c r="BS442" s="1" t="s">
        <v>4632</v>
      </c>
      <c r="BT442" s="1" t="str">
        <f>HYPERLINK("https%3A%2F%2Fwww.webofscience.com%2Fwos%2Fwoscc%2Ffull-record%2FWOS:000244737500005","View Full Record in Web of Science")</f>
        <v>View Full Record in Web of Science</v>
      </c>
    </row>
    <row r="443" ht="12.75" customHeight="1">
      <c r="A443" s="1" t="s">
        <v>72</v>
      </c>
      <c r="B443" s="1" t="s">
        <v>4633</v>
      </c>
      <c r="C443" s="1" t="s">
        <v>74</v>
      </c>
      <c r="D443" s="1" t="s">
        <v>74</v>
      </c>
      <c r="E443" s="1" t="s">
        <v>74</v>
      </c>
      <c r="F443" s="1" t="s">
        <v>4634</v>
      </c>
      <c r="G443" s="1" t="s">
        <v>74</v>
      </c>
      <c r="H443" s="1" t="s">
        <v>74</v>
      </c>
      <c r="I443" s="1" t="s">
        <v>4635</v>
      </c>
      <c r="J443" s="1" t="s">
        <v>1003</v>
      </c>
      <c r="K443" s="1" t="s">
        <v>74</v>
      </c>
      <c r="L443" s="1" t="s">
        <v>74</v>
      </c>
      <c r="M443" s="1" t="s">
        <v>74</v>
      </c>
      <c r="N443" s="1" t="s">
        <v>74</v>
      </c>
      <c r="O443" s="1" t="s">
        <v>74</v>
      </c>
      <c r="P443" s="1" t="s">
        <v>74</v>
      </c>
      <c r="Q443" s="1" t="s">
        <v>74</v>
      </c>
      <c r="R443" s="1" t="s">
        <v>74</v>
      </c>
      <c r="S443" s="1" t="s">
        <v>74</v>
      </c>
      <c r="T443" s="1" t="s">
        <v>74</v>
      </c>
      <c r="U443" s="1" t="s">
        <v>74</v>
      </c>
      <c r="V443" s="1" t="s">
        <v>4636</v>
      </c>
      <c r="W443" s="1" t="s">
        <v>74</v>
      </c>
      <c r="X443" s="1" t="s">
        <v>74</v>
      </c>
      <c r="Y443" s="1" t="s">
        <v>74</v>
      </c>
      <c r="Z443" s="1" t="s">
        <v>74</v>
      </c>
      <c r="AA443" s="1" t="s">
        <v>4637</v>
      </c>
      <c r="AB443" s="1" t="s">
        <v>4638</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1006</v>
      </c>
      <c r="AP443" s="1" t="s">
        <v>1007</v>
      </c>
      <c r="AQ443" s="1" t="s">
        <v>74</v>
      </c>
      <c r="AR443" s="1" t="s">
        <v>74</v>
      </c>
      <c r="AS443" s="1" t="s">
        <v>74</v>
      </c>
      <c r="AT443" s="1" t="s">
        <v>334</v>
      </c>
      <c r="AU443" s="1">
        <v>2023.0</v>
      </c>
      <c r="AV443" s="1">
        <v>151.0</v>
      </c>
      <c r="AW443" s="1">
        <v>10.0</v>
      </c>
      <c r="AX443" s="1" t="s">
        <v>74</v>
      </c>
      <c r="AY443" s="1" t="s">
        <v>74</v>
      </c>
      <c r="AZ443" s="1" t="s">
        <v>74</v>
      </c>
      <c r="BA443" s="1" t="s">
        <v>74</v>
      </c>
      <c r="BB443" s="1">
        <v>1344.0</v>
      </c>
      <c r="BC443" s="1">
        <v>1360.0</v>
      </c>
      <c r="BD443" s="1" t="s">
        <v>74</v>
      </c>
      <c r="BE443" s="1" t="s">
        <v>4639</v>
      </c>
      <c r="BF443" s="2" t="str">
        <f>HYPERLINK("http://dx.doi.org/10.4067/s0034-98872023001001344","http://dx.doi.org/10.4067/s0034-98872023001001344")</f>
        <v>http://dx.doi.org/10.4067/s0034-98872023001001344</v>
      </c>
      <c r="BG443" s="1" t="s">
        <v>74</v>
      </c>
      <c r="BH443" s="1" t="s">
        <v>74</v>
      </c>
      <c r="BI443" s="1" t="s">
        <v>74</v>
      </c>
      <c r="BJ443" s="1" t="s">
        <v>74</v>
      </c>
      <c r="BK443" s="1" t="s">
        <v>74</v>
      </c>
      <c r="BL443" s="1" t="s">
        <v>74</v>
      </c>
      <c r="BM443" s="1" t="s">
        <v>74</v>
      </c>
      <c r="BN443" s="1">
        <v>3.9093138E7</v>
      </c>
      <c r="BO443" s="1" t="s">
        <v>74</v>
      </c>
      <c r="BP443" s="1" t="s">
        <v>74</v>
      </c>
      <c r="BQ443" s="1" t="s">
        <v>74</v>
      </c>
      <c r="BR443" s="1" t="s">
        <v>74</v>
      </c>
      <c r="BS443" s="1" t="s">
        <v>4640</v>
      </c>
      <c r="BT443" s="1" t="str">
        <f>HYPERLINK("https%3A%2F%2Fwww.webofscience.com%2Fwos%2Fwoscc%2Ffull-record%2FWOS:001223730900009","View Full Record in Web of Science")</f>
        <v>View Full Record in Web of Science</v>
      </c>
    </row>
    <row r="444" ht="12.75" customHeight="1">
      <c r="A444" s="1" t="s">
        <v>72</v>
      </c>
      <c r="B444" s="1" t="s">
        <v>4641</v>
      </c>
      <c r="C444" s="1" t="s">
        <v>74</v>
      </c>
      <c r="D444" s="1" t="s">
        <v>74</v>
      </c>
      <c r="E444" s="1" t="s">
        <v>74</v>
      </c>
      <c r="F444" s="1" t="s">
        <v>4642</v>
      </c>
      <c r="G444" s="1" t="s">
        <v>74</v>
      </c>
      <c r="H444" s="1" t="s">
        <v>74</v>
      </c>
      <c r="I444" s="1" t="s">
        <v>4643</v>
      </c>
      <c r="J444" s="1" t="s">
        <v>480</v>
      </c>
      <c r="K444" s="1" t="s">
        <v>74</v>
      </c>
      <c r="L444" s="1" t="s">
        <v>74</v>
      </c>
      <c r="M444" s="1" t="s">
        <v>74</v>
      </c>
      <c r="N444" s="1" t="s">
        <v>74</v>
      </c>
      <c r="O444" s="1" t="s">
        <v>74</v>
      </c>
      <c r="P444" s="1" t="s">
        <v>74</v>
      </c>
      <c r="Q444" s="1" t="s">
        <v>74</v>
      </c>
      <c r="R444" s="1" t="s">
        <v>74</v>
      </c>
      <c r="S444" s="1" t="s">
        <v>74</v>
      </c>
      <c r="T444" s="1" t="s">
        <v>74</v>
      </c>
      <c r="U444" s="1" t="s">
        <v>74</v>
      </c>
      <c r="V444" s="1" t="s">
        <v>4644</v>
      </c>
      <c r="W444" s="1" t="s">
        <v>74</v>
      </c>
      <c r="X444" s="1" t="s">
        <v>74</v>
      </c>
      <c r="Y444" s="1" t="s">
        <v>74</v>
      </c>
      <c r="Z444" s="1" t="s">
        <v>74</v>
      </c>
      <c r="AA444" s="1" t="s">
        <v>4645</v>
      </c>
      <c r="AB444" s="1" t="s">
        <v>4646</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484</v>
      </c>
      <c r="AP444" s="1" t="s">
        <v>74</v>
      </c>
      <c r="AQ444" s="1" t="s">
        <v>74</v>
      </c>
      <c r="AR444" s="1" t="s">
        <v>74</v>
      </c>
      <c r="AS444" s="1" t="s">
        <v>74</v>
      </c>
      <c r="AT444" s="1" t="s">
        <v>4647</v>
      </c>
      <c r="AU444" s="1">
        <v>2020.0</v>
      </c>
      <c r="AV444" s="1">
        <v>10.0</v>
      </c>
      <c r="AW444" s="1">
        <v>1.0</v>
      </c>
      <c r="AX444" s="1" t="s">
        <v>74</v>
      </c>
      <c r="AY444" s="1" t="s">
        <v>74</v>
      </c>
      <c r="AZ444" s="1" t="s">
        <v>74</v>
      </c>
      <c r="BA444" s="1" t="s">
        <v>74</v>
      </c>
      <c r="BB444" s="1" t="s">
        <v>74</v>
      </c>
      <c r="BC444" s="1" t="s">
        <v>74</v>
      </c>
      <c r="BD444" s="1">
        <v>21911.0</v>
      </c>
      <c r="BE444" s="1" t="s">
        <v>4648</v>
      </c>
      <c r="BF444" s="2" t="str">
        <f>HYPERLINK("http://dx.doi.org/10.1038/s41598-020-78761-w","http://dx.doi.org/10.1038/s41598-020-78761-w")</f>
        <v>http://dx.doi.org/10.1038/s41598-020-78761-w</v>
      </c>
      <c r="BG444" s="1" t="s">
        <v>74</v>
      </c>
      <c r="BH444" s="1" t="s">
        <v>74</v>
      </c>
      <c r="BI444" s="1" t="s">
        <v>74</v>
      </c>
      <c r="BJ444" s="1" t="s">
        <v>74</v>
      </c>
      <c r="BK444" s="1" t="s">
        <v>74</v>
      </c>
      <c r="BL444" s="1" t="s">
        <v>74</v>
      </c>
      <c r="BM444" s="1" t="s">
        <v>74</v>
      </c>
      <c r="BN444" s="1">
        <v>3.3318527E7</v>
      </c>
      <c r="BO444" s="1" t="s">
        <v>74</v>
      </c>
      <c r="BP444" s="1" t="s">
        <v>74</v>
      </c>
      <c r="BQ444" s="1" t="s">
        <v>74</v>
      </c>
      <c r="BR444" s="1" t="s">
        <v>74</v>
      </c>
      <c r="BS444" s="1" t="s">
        <v>4649</v>
      </c>
      <c r="BT444" s="1" t="str">
        <f>HYPERLINK("https%3A%2F%2Fwww.webofscience.com%2Fwos%2Fwoscc%2Ffull-record%2FWOS:000600105700010","View Full Record in Web of Science")</f>
        <v>View Full Record in Web of Science</v>
      </c>
    </row>
    <row r="445" ht="12.75" customHeight="1">
      <c r="A445" s="1" t="s">
        <v>72</v>
      </c>
      <c r="B445" s="1" t="s">
        <v>4650</v>
      </c>
      <c r="C445" s="1" t="s">
        <v>74</v>
      </c>
      <c r="D445" s="1" t="s">
        <v>74</v>
      </c>
      <c r="E445" s="1" t="s">
        <v>74</v>
      </c>
      <c r="F445" s="1" t="s">
        <v>4651</v>
      </c>
      <c r="G445" s="1" t="s">
        <v>74</v>
      </c>
      <c r="H445" s="1" t="s">
        <v>74</v>
      </c>
      <c r="I445" s="1" t="s">
        <v>4652</v>
      </c>
      <c r="J445" s="1" t="s">
        <v>4653</v>
      </c>
      <c r="K445" s="1" t="s">
        <v>74</v>
      </c>
      <c r="L445" s="1" t="s">
        <v>74</v>
      </c>
      <c r="M445" s="1" t="s">
        <v>74</v>
      </c>
      <c r="N445" s="1" t="s">
        <v>74</v>
      </c>
      <c r="O445" s="1" t="s">
        <v>74</v>
      </c>
      <c r="P445" s="1" t="s">
        <v>74</v>
      </c>
      <c r="Q445" s="1" t="s">
        <v>74</v>
      </c>
      <c r="R445" s="1" t="s">
        <v>74</v>
      </c>
      <c r="S445" s="1" t="s">
        <v>74</v>
      </c>
      <c r="T445" s="1" t="s">
        <v>74</v>
      </c>
      <c r="U445" s="1" t="s">
        <v>74</v>
      </c>
      <c r="V445" s="1" t="s">
        <v>4654</v>
      </c>
      <c r="W445" s="1" t="s">
        <v>74</v>
      </c>
      <c r="X445" s="1" t="s">
        <v>74</v>
      </c>
      <c r="Y445" s="1" t="s">
        <v>74</v>
      </c>
      <c r="Z445" s="1" t="s">
        <v>74</v>
      </c>
      <c r="AA445" s="1" t="s">
        <v>4655</v>
      </c>
      <c r="AB445" s="1" t="s">
        <v>4656</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4657</v>
      </c>
      <c r="AP445" s="1" t="s">
        <v>4658</v>
      </c>
      <c r="AQ445" s="1" t="s">
        <v>74</v>
      </c>
      <c r="AR445" s="1" t="s">
        <v>74</v>
      </c>
      <c r="AS445" s="1" t="s">
        <v>74</v>
      </c>
      <c r="AT445" s="1" t="s">
        <v>4659</v>
      </c>
      <c r="AU445" s="1">
        <v>2017.0</v>
      </c>
      <c r="AV445" s="1">
        <v>59.0</v>
      </c>
      <c r="AW445" s="1">
        <v>6.0</v>
      </c>
      <c r="AX445" s="1" t="s">
        <v>74</v>
      </c>
      <c r="AY445" s="1" t="s">
        <v>74</v>
      </c>
      <c r="AZ445" s="1" t="s">
        <v>74</v>
      </c>
      <c r="BA445" s="1" t="s">
        <v>74</v>
      </c>
      <c r="BB445" s="1">
        <v>682.0</v>
      </c>
      <c r="BC445" s="1">
        <v>690.0</v>
      </c>
      <c r="BD445" s="1" t="s">
        <v>74</v>
      </c>
      <c r="BE445" s="1" t="s">
        <v>4660</v>
      </c>
      <c r="BF445" s="2" t="str">
        <f>HYPERLINK("http://dx.doi.org/10.21149/8580","http://dx.doi.org/10.21149/8580")</f>
        <v>http://dx.doi.org/10.21149/8580</v>
      </c>
      <c r="BG445" s="1" t="s">
        <v>74</v>
      </c>
      <c r="BH445" s="1" t="s">
        <v>74</v>
      </c>
      <c r="BI445" s="1" t="s">
        <v>74</v>
      </c>
      <c r="BJ445" s="1" t="s">
        <v>74</v>
      </c>
      <c r="BK445" s="1" t="s">
        <v>74</v>
      </c>
      <c r="BL445" s="1" t="s">
        <v>74</v>
      </c>
      <c r="BM445" s="1" t="s">
        <v>74</v>
      </c>
      <c r="BN445" s="1">
        <v>2.9451638E7</v>
      </c>
      <c r="BO445" s="1" t="s">
        <v>74</v>
      </c>
      <c r="BP445" s="1" t="s">
        <v>74</v>
      </c>
      <c r="BQ445" s="1" t="s">
        <v>74</v>
      </c>
      <c r="BR445" s="1" t="s">
        <v>74</v>
      </c>
      <c r="BS445" s="1" t="s">
        <v>4661</v>
      </c>
      <c r="BT445" s="1" t="str">
        <f>HYPERLINK("https%3A%2F%2Fwww.webofscience.com%2Fwos%2Fwoscc%2Ffull-record%2FWOS:000415960600017","View Full Record in Web of Science")</f>
        <v>View Full Record in Web of Science</v>
      </c>
    </row>
    <row r="446" ht="12.75" customHeight="1">
      <c r="A446" s="1" t="s">
        <v>72</v>
      </c>
      <c r="B446" s="1" t="s">
        <v>4662</v>
      </c>
      <c r="C446" s="1" t="s">
        <v>74</v>
      </c>
      <c r="D446" s="1" t="s">
        <v>74</v>
      </c>
      <c r="E446" s="1" t="s">
        <v>74</v>
      </c>
      <c r="F446" s="1" t="s">
        <v>4663</v>
      </c>
      <c r="G446" s="1" t="s">
        <v>74</v>
      </c>
      <c r="H446" s="1" t="s">
        <v>74</v>
      </c>
      <c r="I446" s="1" t="s">
        <v>4664</v>
      </c>
      <c r="J446" s="1" t="s">
        <v>1561</v>
      </c>
      <c r="K446" s="1" t="s">
        <v>74</v>
      </c>
      <c r="L446" s="1" t="s">
        <v>74</v>
      </c>
      <c r="M446" s="1" t="s">
        <v>74</v>
      </c>
      <c r="N446" s="1" t="s">
        <v>74</v>
      </c>
      <c r="O446" s="1" t="s">
        <v>74</v>
      </c>
      <c r="P446" s="1" t="s">
        <v>74</v>
      </c>
      <c r="Q446" s="1" t="s">
        <v>74</v>
      </c>
      <c r="R446" s="1" t="s">
        <v>74</v>
      </c>
      <c r="S446" s="1" t="s">
        <v>74</v>
      </c>
      <c r="T446" s="1" t="s">
        <v>74</v>
      </c>
      <c r="U446" s="1" t="s">
        <v>74</v>
      </c>
      <c r="V446" s="1" t="s">
        <v>4665</v>
      </c>
      <c r="W446" s="1" t="s">
        <v>74</v>
      </c>
      <c r="X446" s="1" t="s">
        <v>74</v>
      </c>
      <c r="Y446" s="1" t="s">
        <v>74</v>
      </c>
      <c r="Z446" s="1" t="s">
        <v>74</v>
      </c>
      <c r="AA446" s="1" t="s">
        <v>4666</v>
      </c>
      <c r="AB446" s="1" t="s">
        <v>4667</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1565</v>
      </c>
      <c r="AP446" s="1" t="s">
        <v>74</v>
      </c>
      <c r="AQ446" s="1" t="s">
        <v>74</v>
      </c>
      <c r="AR446" s="1" t="s">
        <v>74</v>
      </c>
      <c r="AS446" s="1" t="s">
        <v>74</v>
      </c>
      <c r="AT446" s="1" t="s">
        <v>4668</v>
      </c>
      <c r="AU446" s="1">
        <v>2021.0</v>
      </c>
      <c r="AV446" s="1">
        <v>12.0</v>
      </c>
      <c r="AW446" s="1" t="s">
        <v>74</v>
      </c>
      <c r="AX446" s="1" t="s">
        <v>74</v>
      </c>
      <c r="AY446" s="1" t="s">
        <v>74</v>
      </c>
      <c r="AZ446" s="1" t="s">
        <v>74</v>
      </c>
      <c r="BA446" s="1" t="s">
        <v>74</v>
      </c>
      <c r="BB446" s="1" t="s">
        <v>74</v>
      </c>
      <c r="BC446" s="1" t="s">
        <v>74</v>
      </c>
      <c r="BD446" s="1">
        <v>666356.0</v>
      </c>
      <c r="BE446" s="1" t="s">
        <v>4669</v>
      </c>
      <c r="BF446" s="2" t="str">
        <f>HYPERLINK("http://dx.doi.org/10.3389/fimmu.2021.666356","http://dx.doi.org/10.3389/fimmu.2021.666356")</f>
        <v>http://dx.doi.org/10.3389/fimmu.2021.666356</v>
      </c>
      <c r="BG446" s="1" t="s">
        <v>74</v>
      </c>
      <c r="BH446" s="1" t="s">
        <v>74</v>
      </c>
      <c r="BI446" s="1" t="s">
        <v>74</v>
      </c>
      <c r="BJ446" s="1" t="s">
        <v>74</v>
      </c>
      <c r="BK446" s="1" t="s">
        <v>74</v>
      </c>
      <c r="BL446" s="1" t="s">
        <v>74</v>
      </c>
      <c r="BM446" s="1" t="s">
        <v>74</v>
      </c>
      <c r="BN446" s="1">
        <v>3.4054836E7</v>
      </c>
      <c r="BO446" s="1" t="s">
        <v>74</v>
      </c>
      <c r="BP446" s="1" t="s">
        <v>74</v>
      </c>
      <c r="BQ446" s="1" t="s">
        <v>74</v>
      </c>
      <c r="BR446" s="1" t="s">
        <v>74</v>
      </c>
      <c r="BS446" s="1" t="s">
        <v>4670</v>
      </c>
      <c r="BT446" s="1" t="str">
        <f>HYPERLINK("https%3A%2F%2Fwww.webofscience.com%2Fwos%2Fwoscc%2Ffull-record%2FWOS:000654968000001","View Full Record in Web of Science")</f>
        <v>View Full Record in Web of Science</v>
      </c>
    </row>
    <row r="447" ht="12.75" customHeight="1">
      <c r="A447" s="1" t="s">
        <v>72</v>
      </c>
      <c r="B447" s="1" t="s">
        <v>4671</v>
      </c>
      <c r="C447" s="1" t="s">
        <v>74</v>
      </c>
      <c r="D447" s="1" t="s">
        <v>74</v>
      </c>
      <c r="E447" s="1" t="s">
        <v>74</v>
      </c>
      <c r="F447" s="1" t="s">
        <v>4672</v>
      </c>
      <c r="G447" s="1" t="s">
        <v>74</v>
      </c>
      <c r="H447" s="1" t="s">
        <v>74</v>
      </c>
      <c r="I447" s="1" t="s">
        <v>4673</v>
      </c>
      <c r="J447" s="1" t="s">
        <v>4674</v>
      </c>
      <c r="K447" s="1" t="s">
        <v>74</v>
      </c>
      <c r="L447" s="1" t="s">
        <v>74</v>
      </c>
      <c r="M447" s="1" t="s">
        <v>74</v>
      </c>
      <c r="N447" s="1" t="s">
        <v>74</v>
      </c>
      <c r="O447" s="1" t="s">
        <v>74</v>
      </c>
      <c r="P447" s="1" t="s">
        <v>74</v>
      </c>
      <c r="Q447" s="1" t="s">
        <v>74</v>
      </c>
      <c r="R447" s="1" t="s">
        <v>74</v>
      </c>
      <c r="S447" s="1" t="s">
        <v>74</v>
      </c>
      <c r="T447" s="1" t="s">
        <v>74</v>
      </c>
      <c r="U447" s="1" t="s">
        <v>74</v>
      </c>
      <c r="V447" s="1" t="s">
        <v>4675</v>
      </c>
      <c r="W447" s="1" t="s">
        <v>74</v>
      </c>
      <c r="X447" s="1" t="s">
        <v>74</v>
      </c>
      <c r="Y447" s="1" t="s">
        <v>74</v>
      </c>
      <c r="Z447" s="1" t="s">
        <v>74</v>
      </c>
      <c r="AA447" s="1" t="s">
        <v>4676</v>
      </c>
      <c r="AB447" s="1" t="s">
        <v>4677</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4678</v>
      </c>
      <c r="AP447" s="1" t="s">
        <v>4679</v>
      </c>
      <c r="AQ447" s="1" t="s">
        <v>74</v>
      </c>
      <c r="AR447" s="1" t="s">
        <v>74</v>
      </c>
      <c r="AS447" s="1" t="s">
        <v>74</v>
      </c>
      <c r="AT447" s="1" t="s">
        <v>141</v>
      </c>
      <c r="AU447" s="1">
        <v>2020.0</v>
      </c>
      <c r="AV447" s="1">
        <v>103.0</v>
      </c>
      <c r="AW447" s="1">
        <v>9.0</v>
      </c>
      <c r="AX447" s="1" t="s">
        <v>74</v>
      </c>
      <c r="AY447" s="1" t="s">
        <v>74</v>
      </c>
      <c r="AZ447" s="1" t="s">
        <v>74</v>
      </c>
      <c r="BA447" s="1" t="s">
        <v>74</v>
      </c>
      <c r="BB447" s="1">
        <v>5086.0</v>
      </c>
      <c r="BC447" s="1">
        <v>5097.0</v>
      </c>
      <c r="BD447" s="1" t="s">
        <v>74</v>
      </c>
      <c r="BE447" s="1" t="s">
        <v>4680</v>
      </c>
      <c r="BF447" s="2" t="str">
        <f>HYPERLINK("http://dx.doi.org/10.1111/jace.17175","http://dx.doi.org/10.1111/jace.17175")</f>
        <v>http://dx.doi.org/10.1111/jace.17175</v>
      </c>
      <c r="BG447" s="1" t="s">
        <v>74</v>
      </c>
      <c r="BH447" s="1" t="s">
        <v>4293</v>
      </c>
      <c r="BI447" s="1" t="s">
        <v>74</v>
      </c>
      <c r="BJ447" s="1" t="s">
        <v>74</v>
      </c>
      <c r="BK447" s="1" t="s">
        <v>74</v>
      </c>
      <c r="BL447" s="1" t="s">
        <v>74</v>
      </c>
      <c r="BM447" s="1" t="s">
        <v>74</v>
      </c>
      <c r="BN447" s="1" t="s">
        <v>74</v>
      </c>
      <c r="BO447" s="1" t="s">
        <v>74</v>
      </c>
      <c r="BP447" s="1" t="s">
        <v>74</v>
      </c>
      <c r="BQ447" s="1" t="s">
        <v>74</v>
      </c>
      <c r="BR447" s="1" t="s">
        <v>74</v>
      </c>
      <c r="BS447" s="1" t="s">
        <v>4681</v>
      </c>
      <c r="BT447" s="1" t="str">
        <f>HYPERLINK("https%3A%2F%2Fwww.webofscience.com%2Fwos%2Fwoscc%2Ffull-record%2FWOS:000533614200001","View Full Record in Web of Science")</f>
        <v>View Full Record in Web of Science</v>
      </c>
    </row>
    <row r="448" ht="12.75" customHeight="1">
      <c r="A448" s="1" t="s">
        <v>72</v>
      </c>
      <c r="B448" s="1" t="s">
        <v>4682</v>
      </c>
      <c r="C448" s="1" t="s">
        <v>74</v>
      </c>
      <c r="D448" s="1" t="s">
        <v>74</v>
      </c>
      <c r="E448" s="1" t="s">
        <v>74</v>
      </c>
      <c r="F448" s="1" t="s">
        <v>4683</v>
      </c>
      <c r="G448" s="1" t="s">
        <v>74</v>
      </c>
      <c r="H448" s="1" t="s">
        <v>74</v>
      </c>
      <c r="I448" s="1" t="s">
        <v>4684</v>
      </c>
      <c r="J448" s="1" t="s">
        <v>376</v>
      </c>
      <c r="K448" s="1" t="s">
        <v>74</v>
      </c>
      <c r="L448" s="1" t="s">
        <v>74</v>
      </c>
      <c r="M448" s="1" t="s">
        <v>74</v>
      </c>
      <c r="N448" s="1" t="s">
        <v>74</v>
      </c>
      <c r="O448" s="1" t="s">
        <v>74</v>
      </c>
      <c r="P448" s="1" t="s">
        <v>74</v>
      </c>
      <c r="Q448" s="1" t="s">
        <v>74</v>
      </c>
      <c r="R448" s="1" t="s">
        <v>74</v>
      </c>
      <c r="S448" s="1" t="s">
        <v>74</v>
      </c>
      <c r="T448" s="1" t="s">
        <v>74</v>
      </c>
      <c r="U448" s="1" t="s">
        <v>74</v>
      </c>
      <c r="V448" s="1" t="s">
        <v>4685</v>
      </c>
      <c r="W448" s="1" t="s">
        <v>74</v>
      </c>
      <c r="X448" s="1" t="s">
        <v>74</v>
      </c>
      <c r="Y448" s="1" t="s">
        <v>74</v>
      </c>
      <c r="Z448" s="1" t="s">
        <v>74</v>
      </c>
      <c r="AA448" s="1" t="s">
        <v>4686</v>
      </c>
      <c r="AB448" s="1" t="s">
        <v>4687</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380</v>
      </c>
      <c r="AP448" s="1" t="s">
        <v>74</v>
      </c>
      <c r="AQ448" s="1" t="s">
        <v>74</v>
      </c>
      <c r="AR448" s="1" t="s">
        <v>74</v>
      </c>
      <c r="AS448" s="1" t="s">
        <v>74</v>
      </c>
      <c r="AT448" s="1" t="s">
        <v>346</v>
      </c>
      <c r="AU448" s="1">
        <v>2023.0</v>
      </c>
      <c r="AV448" s="1">
        <v>7.0</v>
      </c>
      <c r="AW448" s="1">
        <v>3.0</v>
      </c>
      <c r="AX448" s="1" t="s">
        <v>74</v>
      </c>
      <c r="AY448" s="1" t="s">
        <v>74</v>
      </c>
      <c r="AZ448" s="1" t="s">
        <v>74</v>
      </c>
      <c r="BA448" s="1" t="s">
        <v>74</v>
      </c>
      <c r="BB448" s="1" t="s">
        <v>74</v>
      </c>
      <c r="BC448" s="1" t="s">
        <v>74</v>
      </c>
      <c r="BD448" s="1">
        <v>120.0</v>
      </c>
      <c r="BE448" s="1" t="s">
        <v>4688</v>
      </c>
      <c r="BF448" s="2" t="str">
        <f>HYPERLINK("http://dx.doi.org/10.3390/jcs7030120","http://dx.doi.org/10.3390/jcs7030120")</f>
        <v>http://dx.doi.org/10.3390/jcs7030120</v>
      </c>
      <c r="BG448" s="1" t="s">
        <v>74</v>
      </c>
      <c r="BH448" s="1" t="s">
        <v>74</v>
      </c>
      <c r="BI448" s="1" t="s">
        <v>74</v>
      </c>
      <c r="BJ448" s="1" t="s">
        <v>74</v>
      </c>
      <c r="BK448" s="1" t="s">
        <v>74</v>
      </c>
      <c r="BL448" s="1" t="s">
        <v>74</v>
      </c>
      <c r="BM448" s="1" t="s">
        <v>74</v>
      </c>
      <c r="BN448" s="1" t="s">
        <v>74</v>
      </c>
      <c r="BO448" s="1" t="s">
        <v>74</v>
      </c>
      <c r="BP448" s="1" t="s">
        <v>74</v>
      </c>
      <c r="BQ448" s="1" t="s">
        <v>74</v>
      </c>
      <c r="BR448" s="1" t="s">
        <v>74</v>
      </c>
      <c r="BS448" s="1" t="s">
        <v>4689</v>
      </c>
      <c r="BT448" s="1" t="str">
        <f>HYPERLINK("https%3A%2F%2Fwww.webofscience.com%2Fwos%2Fwoscc%2Ffull-record%2FWOS:000957790800001","View Full Record in Web of Science")</f>
        <v>View Full Record in Web of Science</v>
      </c>
    </row>
    <row r="449" ht="12.75" customHeight="1">
      <c r="A449" s="1" t="s">
        <v>72</v>
      </c>
      <c r="B449" s="1" t="s">
        <v>4690</v>
      </c>
      <c r="C449" s="1" t="s">
        <v>74</v>
      </c>
      <c r="D449" s="1" t="s">
        <v>74</v>
      </c>
      <c r="E449" s="1" t="s">
        <v>74</v>
      </c>
      <c r="F449" s="1" t="s">
        <v>4691</v>
      </c>
      <c r="G449" s="1" t="s">
        <v>74</v>
      </c>
      <c r="H449" s="1" t="s">
        <v>74</v>
      </c>
      <c r="I449" s="1" t="s">
        <v>4692</v>
      </c>
      <c r="J449" s="1" t="s">
        <v>2479</v>
      </c>
      <c r="K449" s="1" t="s">
        <v>74</v>
      </c>
      <c r="L449" s="1" t="s">
        <v>74</v>
      </c>
      <c r="M449" s="1" t="s">
        <v>74</v>
      </c>
      <c r="N449" s="1" t="s">
        <v>74</v>
      </c>
      <c r="O449" s="1" t="s">
        <v>74</v>
      </c>
      <c r="P449" s="1" t="s">
        <v>74</v>
      </c>
      <c r="Q449" s="1" t="s">
        <v>74</v>
      </c>
      <c r="R449" s="1" t="s">
        <v>74</v>
      </c>
      <c r="S449" s="1" t="s">
        <v>74</v>
      </c>
      <c r="T449" s="1" t="s">
        <v>74</v>
      </c>
      <c r="U449" s="1" t="s">
        <v>74</v>
      </c>
      <c r="V449" s="1" t="s">
        <v>4693</v>
      </c>
      <c r="W449" s="1" t="s">
        <v>74</v>
      </c>
      <c r="X449" s="1" t="s">
        <v>74</v>
      </c>
      <c r="Y449" s="1" t="s">
        <v>74</v>
      </c>
      <c r="Z449" s="1" t="s">
        <v>74</v>
      </c>
      <c r="AA449" s="1" t="s">
        <v>4694</v>
      </c>
      <c r="AB449" s="1" t="s">
        <v>4695</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74</v>
      </c>
      <c r="AP449" s="1" t="s">
        <v>2483</v>
      </c>
      <c r="AQ449" s="1" t="s">
        <v>74</v>
      </c>
      <c r="AR449" s="1" t="s">
        <v>74</v>
      </c>
      <c r="AS449" s="1" t="s">
        <v>74</v>
      </c>
      <c r="AT449" s="1" t="s">
        <v>4696</v>
      </c>
      <c r="AU449" s="1">
        <v>2022.0</v>
      </c>
      <c r="AV449" s="1">
        <v>13.0</v>
      </c>
      <c r="AW449" s="1" t="s">
        <v>74</v>
      </c>
      <c r="AX449" s="1" t="s">
        <v>74</v>
      </c>
      <c r="AY449" s="1" t="s">
        <v>74</v>
      </c>
      <c r="AZ449" s="1" t="s">
        <v>74</v>
      </c>
      <c r="BA449" s="1" t="s">
        <v>74</v>
      </c>
      <c r="BB449" s="1" t="s">
        <v>74</v>
      </c>
      <c r="BC449" s="1" t="s">
        <v>74</v>
      </c>
      <c r="BD449" s="1">
        <v>855792.0</v>
      </c>
      <c r="BE449" s="1" t="s">
        <v>4697</v>
      </c>
      <c r="BF449" s="2" t="str">
        <f>HYPERLINK("http://dx.doi.org/10.3389/fphar.2022.855792","http://dx.doi.org/10.3389/fphar.2022.855792")</f>
        <v>http://dx.doi.org/10.3389/fphar.2022.855792</v>
      </c>
      <c r="BG449" s="1" t="s">
        <v>74</v>
      </c>
      <c r="BH449" s="1" t="s">
        <v>74</v>
      </c>
      <c r="BI449" s="1" t="s">
        <v>74</v>
      </c>
      <c r="BJ449" s="1" t="s">
        <v>74</v>
      </c>
      <c r="BK449" s="1" t="s">
        <v>74</v>
      </c>
      <c r="BL449" s="1" t="s">
        <v>74</v>
      </c>
      <c r="BM449" s="1" t="s">
        <v>74</v>
      </c>
      <c r="BN449" s="1">
        <v>3.5370665E7</v>
      </c>
      <c r="BO449" s="1" t="s">
        <v>74</v>
      </c>
      <c r="BP449" s="1" t="s">
        <v>74</v>
      </c>
      <c r="BQ449" s="1" t="s">
        <v>74</v>
      </c>
      <c r="BR449" s="1" t="s">
        <v>74</v>
      </c>
      <c r="BS449" s="1" t="s">
        <v>4698</v>
      </c>
      <c r="BT449" s="1" t="str">
        <f>HYPERLINK("https%3A%2F%2Fwww.webofscience.com%2Fwos%2Fwoscc%2Ffull-record%2FWOS:000791748000001","View Full Record in Web of Science")</f>
        <v>View Full Record in Web of Science</v>
      </c>
    </row>
    <row r="450" ht="12.75" customHeight="1">
      <c r="A450" s="1" t="s">
        <v>72</v>
      </c>
      <c r="B450" s="1" t="s">
        <v>4699</v>
      </c>
      <c r="C450" s="1" t="s">
        <v>74</v>
      </c>
      <c r="D450" s="1" t="s">
        <v>74</v>
      </c>
      <c r="E450" s="1" t="s">
        <v>74</v>
      </c>
      <c r="F450" s="1" t="s">
        <v>4700</v>
      </c>
      <c r="G450" s="1" t="s">
        <v>74</v>
      </c>
      <c r="H450" s="1" t="s">
        <v>74</v>
      </c>
      <c r="I450" s="1" t="s">
        <v>4701</v>
      </c>
      <c r="J450" s="1" t="s">
        <v>4702</v>
      </c>
      <c r="K450" s="1" t="s">
        <v>74</v>
      </c>
      <c r="L450" s="1" t="s">
        <v>74</v>
      </c>
      <c r="M450" s="1" t="s">
        <v>74</v>
      </c>
      <c r="N450" s="1" t="s">
        <v>74</v>
      </c>
      <c r="O450" s="1" t="s">
        <v>74</v>
      </c>
      <c r="P450" s="1" t="s">
        <v>74</v>
      </c>
      <c r="Q450" s="1" t="s">
        <v>74</v>
      </c>
      <c r="R450" s="1" t="s">
        <v>74</v>
      </c>
      <c r="S450" s="1" t="s">
        <v>74</v>
      </c>
      <c r="T450" s="1" t="s">
        <v>74</v>
      </c>
      <c r="U450" s="1" t="s">
        <v>74</v>
      </c>
      <c r="V450" s="1" t="s">
        <v>4703</v>
      </c>
      <c r="W450" s="1" t="s">
        <v>74</v>
      </c>
      <c r="X450" s="1" t="s">
        <v>74</v>
      </c>
      <c r="Y450" s="1" t="s">
        <v>74</v>
      </c>
      <c r="Z450" s="1" t="s">
        <v>74</v>
      </c>
      <c r="AA450" s="1" t="s">
        <v>4704</v>
      </c>
      <c r="AB450" s="1" t="s">
        <v>4705</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4706</v>
      </c>
      <c r="AP450" s="1" t="s">
        <v>4707</v>
      </c>
      <c r="AQ450" s="1" t="s">
        <v>74</v>
      </c>
      <c r="AR450" s="1" t="s">
        <v>74</v>
      </c>
      <c r="AS450" s="1" t="s">
        <v>74</v>
      </c>
      <c r="AT450" s="1" t="s">
        <v>447</v>
      </c>
      <c r="AU450" s="1">
        <v>2020.0</v>
      </c>
      <c r="AV450" s="1">
        <v>14.0</v>
      </c>
      <c r="AW450" s="1">
        <v>4.0</v>
      </c>
      <c r="AX450" s="1" t="s">
        <v>74</v>
      </c>
      <c r="AY450" s="1" t="s">
        <v>74</v>
      </c>
      <c r="AZ450" s="1" t="s">
        <v>74</v>
      </c>
      <c r="BA450" s="1" t="s">
        <v>74</v>
      </c>
      <c r="BB450" s="1">
        <v>1810.0</v>
      </c>
      <c r="BC450" s="1">
        <v>1821.0</v>
      </c>
      <c r="BD450" s="1" t="s">
        <v>74</v>
      </c>
      <c r="BE450" s="1" t="s">
        <v>4708</v>
      </c>
      <c r="BF450" s="2" t="str">
        <f>HYPERLINK("http://dx.doi.org/10.1007/s11694-020-00428-x","http://dx.doi.org/10.1007/s11694-020-00428-x")</f>
        <v>http://dx.doi.org/10.1007/s11694-020-00428-x</v>
      </c>
      <c r="BG450" s="1" t="s">
        <v>74</v>
      </c>
      <c r="BH450" s="1" t="s">
        <v>1734</v>
      </c>
      <c r="BI450" s="1" t="s">
        <v>74</v>
      </c>
      <c r="BJ450" s="1" t="s">
        <v>74</v>
      </c>
      <c r="BK450" s="1" t="s">
        <v>74</v>
      </c>
      <c r="BL450" s="1" t="s">
        <v>74</v>
      </c>
      <c r="BM450" s="1" t="s">
        <v>74</v>
      </c>
      <c r="BN450" s="1" t="s">
        <v>74</v>
      </c>
      <c r="BO450" s="1" t="s">
        <v>74</v>
      </c>
      <c r="BP450" s="1" t="s">
        <v>74</v>
      </c>
      <c r="BQ450" s="1" t="s">
        <v>74</v>
      </c>
      <c r="BR450" s="1" t="s">
        <v>74</v>
      </c>
      <c r="BS450" s="1" t="s">
        <v>4709</v>
      </c>
      <c r="BT450" s="1" t="str">
        <f>HYPERLINK("https%3A%2F%2Fwww.webofscience.com%2Fwos%2Fwoscc%2Ffull-record%2FWOS:000516954800006","View Full Record in Web of Science")</f>
        <v>View Full Record in Web of Science</v>
      </c>
    </row>
    <row r="451" ht="12.75" customHeight="1">
      <c r="A451" s="1" t="s">
        <v>72</v>
      </c>
      <c r="B451" s="1" t="s">
        <v>4710</v>
      </c>
      <c r="C451" s="1" t="s">
        <v>74</v>
      </c>
      <c r="D451" s="1" t="s">
        <v>74</v>
      </c>
      <c r="E451" s="1" t="s">
        <v>74</v>
      </c>
      <c r="F451" s="1" t="s">
        <v>4711</v>
      </c>
      <c r="G451" s="1" t="s">
        <v>74</v>
      </c>
      <c r="H451" s="1" t="s">
        <v>74</v>
      </c>
      <c r="I451" s="1" t="s">
        <v>4712</v>
      </c>
      <c r="J451" s="1" t="s">
        <v>4713</v>
      </c>
      <c r="K451" s="1" t="s">
        <v>74</v>
      </c>
      <c r="L451" s="1" t="s">
        <v>74</v>
      </c>
      <c r="M451" s="1" t="s">
        <v>74</v>
      </c>
      <c r="N451" s="1" t="s">
        <v>74</v>
      </c>
      <c r="O451" s="1" t="s">
        <v>74</v>
      </c>
      <c r="P451" s="1" t="s">
        <v>74</v>
      </c>
      <c r="Q451" s="1" t="s">
        <v>74</v>
      </c>
      <c r="R451" s="1" t="s">
        <v>74</v>
      </c>
      <c r="S451" s="1" t="s">
        <v>74</v>
      </c>
      <c r="T451" s="1" t="s">
        <v>74</v>
      </c>
      <c r="U451" s="1" t="s">
        <v>74</v>
      </c>
      <c r="V451" s="1" t="s">
        <v>4714</v>
      </c>
      <c r="W451" s="1" t="s">
        <v>74</v>
      </c>
      <c r="X451" s="1" t="s">
        <v>74</v>
      </c>
      <c r="Y451" s="1" t="s">
        <v>74</v>
      </c>
      <c r="Z451" s="1" t="s">
        <v>74</v>
      </c>
      <c r="AA451" s="1" t="s">
        <v>4715</v>
      </c>
      <c r="AB451" s="1" t="s">
        <v>4716</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4717</v>
      </c>
      <c r="AP451" s="1" t="s">
        <v>74</v>
      </c>
      <c r="AQ451" s="1" t="s">
        <v>74</v>
      </c>
      <c r="AR451" s="1" t="s">
        <v>74</v>
      </c>
      <c r="AS451" s="1" t="s">
        <v>74</v>
      </c>
      <c r="AT451" s="1" t="s">
        <v>141</v>
      </c>
      <c r="AU451" s="1">
        <v>2019.0</v>
      </c>
      <c r="AV451" s="1">
        <v>12.0</v>
      </c>
      <c r="AW451" s="1">
        <v>5.0</v>
      </c>
      <c r="AX451" s="1" t="s">
        <v>74</v>
      </c>
      <c r="AY451" s="1" t="s">
        <v>74</v>
      </c>
      <c r="AZ451" s="1" t="s">
        <v>74</v>
      </c>
      <c r="BA451" s="1" t="s">
        <v>74</v>
      </c>
      <c r="BB451" s="1" t="s">
        <v>74</v>
      </c>
      <c r="BC451" s="1" t="s">
        <v>74</v>
      </c>
      <c r="BD451" s="1" t="s">
        <v>4718</v>
      </c>
      <c r="BE451" s="1" t="s">
        <v>4719</v>
      </c>
      <c r="BF451" s="2" t="str">
        <f>HYPERLINK("http://dx.doi.org/10.1111/conl.12665","http://dx.doi.org/10.1111/conl.12665")</f>
        <v>http://dx.doi.org/10.1111/conl.12665</v>
      </c>
      <c r="BG451" s="1" t="s">
        <v>74</v>
      </c>
      <c r="BH451" s="1" t="s">
        <v>4720</v>
      </c>
      <c r="BI451" s="1" t="s">
        <v>74</v>
      </c>
      <c r="BJ451" s="1" t="s">
        <v>74</v>
      </c>
      <c r="BK451" s="1" t="s">
        <v>74</v>
      </c>
      <c r="BL451" s="1" t="s">
        <v>74</v>
      </c>
      <c r="BM451" s="1" t="s">
        <v>74</v>
      </c>
      <c r="BN451" s="1" t="s">
        <v>74</v>
      </c>
      <c r="BO451" s="1" t="s">
        <v>74</v>
      </c>
      <c r="BP451" s="1" t="s">
        <v>74</v>
      </c>
      <c r="BQ451" s="1" t="s">
        <v>74</v>
      </c>
      <c r="BR451" s="1" t="s">
        <v>74</v>
      </c>
      <c r="BS451" s="1" t="s">
        <v>4721</v>
      </c>
      <c r="BT451" s="1" t="str">
        <f>HYPERLINK("https%3A%2F%2Fwww.webofscience.com%2Fwos%2Fwoscc%2Ffull-record%2FWOS:000478406300001","View Full Record in Web of Science")</f>
        <v>View Full Record in Web of Science</v>
      </c>
    </row>
    <row r="452" ht="12.75" customHeight="1">
      <c r="A452" s="1" t="s">
        <v>72</v>
      </c>
      <c r="B452" s="1" t="s">
        <v>4722</v>
      </c>
      <c r="C452" s="1" t="s">
        <v>74</v>
      </c>
      <c r="D452" s="1" t="s">
        <v>74</v>
      </c>
      <c r="E452" s="1" t="s">
        <v>74</v>
      </c>
      <c r="F452" s="1" t="s">
        <v>4723</v>
      </c>
      <c r="G452" s="1" t="s">
        <v>74</v>
      </c>
      <c r="H452" s="1" t="s">
        <v>74</v>
      </c>
      <c r="I452" s="1" t="s">
        <v>4724</v>
      </c>
      <c r="J452" s="1" t="s">
        <v>4725</v>
      </c>
      <c r="K452" s="1" t="s">
        <v>74</v>
      </c>
      <c r="L452" s="1" t="s">
        <v>74</v>
      </c>
      <c r="M452" s="1" t="s">
        <v>74</v>
      </c>
      <c r="N452" s="1" t="s">
        <v>74</v>
      </c>
      <c r="O452" s="1" t="s">
        <v>74</v>
      </c>
      <c r="P452" s="1" t="s">
        <v>74</v>
      </c>
      <c r="Q452" s="1" t="s">
        <v>74</v>
      </c>
      <c r="R452" s="1" t="s">
        <v>74</v>
      </c>
      <c r="S452" s="1" t="s">
        <v>74</v>
      </c>
      <c r="T452" s="1" t="s">
        <v>74</v>
      </c>
      <c r="U452" s="1" t="s">
        <v>74</v>
      </c>
      <c r="V452" s="1" t="s">
        <v>4726</v>
      </c>
      <c r="W452" s="1" t="s">
        <v>74</v>
      </c>
      <c r="X452" s="1" t="s">
        <v>74</v>
      </c>
      <c r="Y452" s="1" t="s">
        <v>74</v>
      </c>
      <c r="Z452" s="1" t="s">
        <v>74</v>
      </c>
      <c r="AA452" s="1" t="s">
        <v>4727</v>
      </c>
      <c r="AB452" s="1" t="s">
        <v>4728</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4729</v>
      </c>
      <c r="AP452" s="1" t="s">
        <v>4730</v>
      </c>
      <c r="AQ452" s="1" t="s">
        <v>74</v>
      </c>
      <c r="AR452" s="1" t="s">
        <v>74</v>
      </c>
      <c r="AS452" s="1" t="s">
        <v>74</v>
      </c>
      <c r="AT452" s="1" t="s">
        <v>141</v>
      </c>
      <c r="AU452" s="1">
        <v>2018.0</v>
      </c>
      <c r="AV452" s="1">
        <v>12.0</v>
      </c>
      <c r="AW452" s="1">
        <v>3.0</v>
      </c>
      <c r="AX452" s="1" t="s">
        <v>74</v>
      </c>
      <c r="AY452" s="1" t="s">
        <v>74</v>
      </c>
      <c r="AZ452" s="1" t="s">
        <v>74</v>
      </c>
      <c r="BA452" s="1" t="s">
        <v>74</v>
      </c>
      <c r="BB452" s="1">
        <v>389.0</v>
      </c>
      <c r="BC452" s="1">
        <v>408.0</v>
      </c>
      <c r="BD452" s="1" t="s">
        <v>74</v>
      </c>
      <c r="BE452" s="1" t="s">
        <v>4731</v>
      </c>
      <c r="BF452" s="2" t="str">
        <f>HYPERLINK("http://dx.doi.org/10.1111/jnp.12120","http://dx.doi.org/10.1111/jnp.12120")</f>
        <v>http://dx.doi.org/10.1111/jnp.12120</v>
      </c>
      <c r="BG452" s="1" t="s">
        <v>74</v>
      </c>
      <c r="BH452" s="1" t="s">
        <v>74</v>
      </c>
      <c r="BI452" s="1" t="s">
        <v>74</v>
      </c>
      <c r="BJ452" s="1" t="s">
        <v>74</v>
      </c>
      <c r="BK452" s="1" t="s">
        <v>74</v>
      </c>
      <c r="BL452" s="1" t="s">
        <v>74</v>
      </c>
      <c r="BM452" s="1" t="s">
        <v>74</v>
      </c>
      <c r="BN452" s="1">
        <v>2.8296213E7</v>
      </c>
      <c r="BO452" s="1" t="s">
        <v>74</v>
      </c>
      <c r="BP452" s="1" t="s">
        <v>74</v>
      </c>
      <c r="BQ452" s="1" t="s">
        <v>74</v>
      </c>
      <c r="BR452" s="1" t="s">
        <v>74</v>
      </c>
      <c r="BS452" s="1" t="s">
        <v>4732</v>
      </c>
      <c r="BT452" s="1" t="str">
        <f>HYPERLINK("https%3A%2F%2Fwww.webofscience.com%2Fwos%2Fwoscc%2Ffull-record%2FWOS:000443568800002","View Full Record in Web of Science")</f>
        <v>View Full Record in Web of Science</v>
      </c>
    </row>
    <row r="453" ht="12.75" customHeight="1">
      <c r="A453" s="1" t="s">
        <v>72</v>
      </c>
      <c r="B453" s="1" t="s">
        <v>4733</v>
      </c>
      <c r="C453" s="1" t="s">
        <v>74</v>
      </c>
      <c r="D453" s="1" t="s">
        <v>74</v>
      </c>
      <c r="E453" s="1" t="s">
        <v>74</v>
      </c>
      <c r="F453" s="1" t="s">
        <v>4734</v>
      </c>
      <c r="G453" s="1" t="s">
        <v>74</v>
      </c>
      <c r="H453" s="1" t="s">
        <v>74</v>
      </c>
      <c r="I453" s="1" t="s">
        <v>4735</v>
      </c>
      <c r="J453" s="1" t="s">
        <v>4736</v>
      </c>
      <c r="K453" s="1" t="s">
        <v>74</v>
      </c>
      <c r="L453" s="1" t="s">
        <v>74</v>
      </c>
      <c r="M453" s="1" t="s">
        <v>74</v>
      </c>
      <c r="N453" s="1" t="s">
        <v>74</v>
      </c>
      <c r="O453" s="1" t="s">
        <v>74</v>
      </c>
      <c r="P453" s="1" t="s">
        <v>74</v>
      </c>
      <c r="Q453" s="1" t="s">
        <v>74</v>
      </c>
      <c r="R453" s="1" t="s">
        <v>74</v>
      </c>
      <c r="S453" s="1" t="s">
        <v>74</v>
      </c>
      <c r="T453" s="1" t="s">
        <v>74</v>
      </c>
      <c r="U453" s="1" t="s">
        <v>74</v>
      </c>
      <c r="V453" s="1" t="s">
        <v>4737</v>
      </c>
      <c r="W453" s="1" t="s">
        <v>74</v>
      </c>
      <c r="X453" s="1" t="s">
        <v>74</v>
      </c>
      <c r="Y453" s="1" t="s">
        <v>74</v>
      </c>
      <c r="Z453" s="1" t="s">
        <v>74</v>
      </c>
      <c r="AA453" s="1" t="s">
        <v>4738</v>
      </c>
      <c r="AB453" s="1" t="s">
        <v>4739</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4740</v>
      </c>
      <c r="AP453" s="1" t="s">
        <v>4741</v>
      </c>
      <c r="AQ453" s="1" t="s">
        <v>74</v>
      </c>
      <c r="AR453" s="1" t="s">
        <v>74</v>
      </c>
      <c r="AS453" s="1" t="s">
        <v>74</v>
      </c>
      <c r="AT453" s="1" t="s">
        <v>4742</v>
      </c>
      <c r="AU453" s="1">
        <v>2024.0</v>
      </c>
      <c r="AV453" s="1" t="s">
        <v>74</v>
      </c>
      <c r="AW453" s="1" t="s">
        <v>74</v>
      </c>
      <c r="AX453" s="1" t="s">
        <v>74</v>
      </c>
      <c r="AY453" s="1" t="s">
        <v>74</v>
      </c>
      <c r="AZ453" s="1" t="s">
        <v>74</v>
      </c>
      <c r="BA453" s="1" t="s">
        <v>74</v>
      </c>
      <c r="BB453" s="1" t="s">
        <v>74</v>
      </c>
      <c r="BC453" s="1" t="s">
        <v>74</v>
      </c>
      <c r="BD453" s="1" t="s">
        <v>4743</v>
      </c>
      <c r="BE453" s="1" t="s">
        <v>4744</v>
      </c>
      <c r="BF453" s="2" t="str">
        <f>HYPERLINK("http://dx.doi.org/10.1007/s13399-024-06131-x","http://dx.doi.org/10.1007/s13399-024-06131-x")</f>
        <v>http://dx.doi.org/10.1007/s13399-024-06131-x</v>
      </c>
      <c r="BG453" s="1" t="s">
        <v>74</v>
      </c>
      <c r="BH453" s="1" t="s">
        <v>428</v>
      </c>
      <c r="BI453" s="1" t="s">
        <v>74</v>
      </c>
      <c r="BJ453" s="1" t="s">
        <v>74</v>
      </c>
      <c r="BK453" s="1" t="s">
        <v>74</v>
      </c>
      <c r="BL453" s="1" t="s">
        <v>74</v>
      </c>
      <c r="BM453" s="1" t="s">
        <v>74</v>
      </c>
      <c r="BN453" s="1" t="s">
        <v>74</v>
      </c>
      <c r="BO453" s="1" t="s">
        <v>74</v>
      </c>
      <c r="BP453" s="1" t="s">
        <v>74</v>
      </c>
      <c r="BQ453" s="1" t="s">
        <v>74</v>
      </c>
      <c r="BR453" s="1" t="s">
        <v>74</v>
      </c>
      <c r="BS453" s="1" t="s">
        <v>4745</v>
      </c>
      <c r="BT453" s="1" t="str">
        <f>HYPERLINK("https%3A%2F%2Fwww.webofscience.com%2Fwos%2Fwoscc%2Ffull-record%2FWOS:001314219700002","View Full Record in Web of Science")</f>
        <v>View Full Record in Web of Science</v>
      </c>
    </row>
    <row r="454" ht="12.75" customHeight="1">
      <c r="A454" s="1" t="s">
        <v>72</v>
      </c>
      <c r="B454" s="1" t="s">
        <v>4746</v>
      </c>
      <c r="C454" s="1" t="s">
        <v>74</v>
      </c>
      <c r="D454" s="1" t="s">
        <v>74</v>
      </c>
      <c r="E454" s="1" t="s">
        <v>74</v>
      </c>
      <c r="F454" s="1" t="s">
        <v>4747</v>
      </c>
      <c r="G454" s="1" t="s">
        <v>74</v>
      </c>
      <c r="H454" s="1" t="s">
        <v>74</v>
      </c>
      <c r="I454" s="1" t="s">
        <v>4748</v>
      </c>
      <c r="J454" s="1" t="s">
        <v>4108</v>
      </c>
      <c r="K454" s="1" t="s">
        <v>74</v>
      </c>
      <c r="L454" s="1" t="s">
        <v>74</v>
      </c>
      <c r="M454" s="1" t="s">
        <v>74</v>
      </c>
      <c r="N454" s="1" t="s">
        <v>74</v>
      </c>
      <c r="O454" s="1" t="s">
        <v>74</v>
      </c>
      <c r="P454" s="1" t="s">
        <v>74</v>
      </c>
      <c r="Q454" s="1" t="s">
        <v>74</v>
      </c>
      <c r="R454" s="1" t="s">
        <v>74</v>
      </c>
      <c r="S454" s="1" t="s">
        <v>74</v>
      </c>
      <c r="T454" s="1" t="s">
        <v>74</v>
      </c>
      <c r="U454" s="1" t="s">
        <v>74</v>
      </c>
      <c r="V454" s="1" t="s">
        <v>4749</v>
      </c>
      <c r="W454" s="1" t="s">
        <v>74</v>
      </c>
      <c r="X454" s="1" t="s">
        <v>74</v>
      </c>
      <c r="Y454" s="1" t="s">
        <v>74</v>
      </c>
      <c r="Z454" s="1" t="s">
        <v>74</v>
      </c>
      <c r="AA454" s="1" t="s">
        <v>4750</v>
      </c>
      <c r="AB454" s="1" t="s">
        <v>4751</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4112</v>
      </c>
      <c r="AP454" s="1" t="s">
        <v>4113</v>
      </c>
      <c r="AQ454" s="1" t="s">
        <v>74</v>
      </c>
      <c r="AR454" s="1" t="s">
        <v>74</v>
      </c>
      <c r="AS454" s="1" t="s">
        <v>74</v>
      </c>
      <c r="AT454" s="1" t="s">
        <v>334</v>
      </c>
      <c r="AU454" s="1">
        <v>2024.0</v>
      </c>
      <c r="AV454" s="1">
        <v>585.0</v>
      </c>
      <c r="AW454" s="1" t="s">
        <v>74</v>
      </c>
      <c r="AX454" s="1" t="s">
        <v>74</v>
      </c>
      <c r="AY454" s="1" t="s">
        <v>74</v>
      </c>
      <c r="AZ454" s="1" t="s">
        <v>74</v>
      </c>
      <c r="BA454" s="1" t="s">
        <v>74</v>
      </c>
      <c r="BB454" s="1" t="s">
        <v>74</v>
      </c>
      <c r="BC454" s="1" t="s">
        <v>74</v>
      </c>
      <c r="BD454" s="1">
        <v>114165.0</v>
      </c>
      <c r="BE454" s="1" t="s">
        <v>4752</v>
      </c>
      <c r="BF454" s="2" t="str">
        <f>HYPERLINK("http://dx.doi.org/10.1016/j.fluid.2024.114165","http://dx.doi.org/10.1016/j.fluid.2024.114165")</f>
        <v>http://dx.doi.org/10.1016/j.fluid.2024.114165</v>
      </c>
      <c r="BG454" s="1" t="s">
        <v>74</v>
      </c>
      <c r="BH454" s="1" t="s">
        <v>702</v>
      </c>
      <c r="BI454" s="1" t="s">
        <v>74</v>
      </c>
      <c r="BJ454" s="1" t="s">
        <v>74</v>
      </c>
      <c r="BK454" s="1" t="s">
        <v>74</v>
      </c>
      <c r="BL454" s="1" t="s">
        <v>74</v>
      </c>
      <c r="BM454" s="1" t="s">
        <v>74</v>
      </c>
      <c r="BN454" s="1" t="s">
        <v>74</v>
      </c>
      <c r="BO454" s="1" t="s">
        <v>74</v>
      </c>
      <c r="BP454" s="1" t="s">
        <v>74</v>
      </c>
      <c r="BQ454" s="1" t="s">
        <v>74</v>
      </c>
      <c r="BR454" s="1" t="s">
        <v>74</v>
      </c>
      <c r="BS454" s="1" t="s">
        <v>4753</v>
      </c>
      <c r="BT454" s="1" t="str">
        <f>HYPERLINK("https%3A%2F%2Fwww.webofscience.com%2Fwos%2Fwoscc%2Ffull-record%2FWOS:001259763800001","View Full Record in Web of Science")</f>
        <v>View Full Record in Web of Science</v>
      </c>
    </row>
    <row r="455" ht="12.75" customHeight="1">
      <c r="A455" s="1" t="s">
        <v>72</v>
      </c>
      <c r="B455" s="1" t="s">
        <v>4754</v>
      </c>
      <c r="C455" s="1" t="s">
        <v>74</v>
      </c>
      <c r="D455" s="1" t="s">
        <v>74</v>
      </c>
      <c r="E455" s="1" t="s">
        <v>74</v>
      </c>
      <c r="F455" s="1" t="s">
        <v>4755</v>
      </c>
      <c r="G455" s="1" t="s">
        <v>74</v>
      </c>
      <c r="H455" s="1" t="s">
        <v>74</v>
      </c>
      <c r="I455" s="1" t="s">
        <v>4756</v>
      </c>
      <c r="J455" s="1" t="s">
        <v>1003</v>
      </c>
      <c r="K455" s="1" t="s">
        <v>74</v>
      </c>
      <c r="L455" s="1" t="s">
        <v>74</v>
      </c>
      <c r="M455" s="1" t="s">
        <v>74</v>
      </c>
      <c r="N455" s="1" t="s">
        <v>74</v>
      </c>
      <c r="O455" s="1" t="s">
        <v>74</v>
      </c>
      <c r="P455" s="1" t="s">
        <v>74</v>
      </c>
      <c r="Q455" s="1" t="s">
        <v>74</v>
      </c>
      <c r="R455" s="1" t="s">
        <v>74</v>
      </c>
      <c r="S455" s="1" t="s">
        <v>74</v>
      </c>
      <c r="T455" s="1" t="s">
        <v>74</v>
      </c>
      <c r="U455" s="1" t="s">
        <v>74</v>
      </c>
      <c r="V455" s="1" t="s">
        <v>74</v>
      </c>
      <c r="W455" s="1" t="s">
        <v>74</v>
      </c>
      <c r="X455" s="1" t="s">
        <v>74</v>
      </c>
      <c r="Y455" s="1" t="s">
        <v>74</v>
      </c>
      <c r="Z455" s="1" t="s">
        <v>74</v>
      </c>
      <c r="AA455" s="1" t="s">
        <v>4757</v>
      </c>
      <c r="AB455" s="1" t="s">
        <v>4758</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1006</v>
      </c>
      <c r="AP455" s="1" t="s">
        <v>1007</v>
      </c>
      <c r="AQ455" s="1" t="s">
        <v>74</v>
      </c>
      <c r="AR455" s="1" t="s">
        <v>74</v>
      </c>
      <c r="AS455" s="1" t="s">
        <v>74</v>
      </c>
      <c r="AT455" s="1" t="s">
        <v>447</v>
      </c>
      <c r="AU455" s="1">
        <v>2018.0</v>
      </c>
      <c r="AV455" s="1">
        <v>146.0</v>
      </c>
      <c r="AW455" s="1">
        <v>8.0</v>
      </c>
      <c r="AX455" s="1" t="s">
        <v>74</v>
      </c>
      <c r="AY455" s="1" t="s">
        <v>74</v>
      </c>
      <c r="AZ455" s="1" t="s">
        <v>74</v>
      </c>
      <c r="BA455" s="1" t="s">
        <v>74</v>
      </c>
      <c r="BB455" s="1">
        <v>947.0</v>
      </c>
      <c r="BC455" s="1">
        <v>948.0</v>
      </c>
      <c r="BD455" s="1" t="s">
        <v>74</v>
      </c>
      <c r="BE455" s="1" t="s">
        <v>4759</v>
      </c>
      <c r="BF455" s="2" t="str">
        <f>HYPERLINK("http://dx.doi.org/10.4067/s0034-98872018000800947","http://dx.doi.org/10.4067/s0034-98872018000800947")</f>
        <v>http://dx.doi.org/10.4067/s0034-98872018000800947</v>
      </c>
      <c r="BG455" s="1" t="s">
        <v>74</v>
      </c>
      <c r="BH455" s="1" t="s">
        <v>74</v>
      </c>
      <c r="BI455" s="1" t="s">
        <v>74</v>
      </c>
      <c r="BJ455" s="1" t="s">
        <v>74</v>
      </c>
      <c r="BK455" s="1" t="s">
        <v>74</v>
      </c>
      <c r="BL455" s="1" t="s">
        <v>74</v>
      </c>
      <c r="BM455" s="1" t="s">
        <v>74</v>
      </c>
      <c r="BN455" s="1">
        <v>3.0534877E7</v>
      </c>
      <c r="BO455" s="1" t="s">
        <v>74</v>
      </c>
      <c r="BP455" s="1" t="s">
        <v>74</v>
      </c>
      <c r="BQ455" s="1" t="s">
        <v>74</v>
      </c>
      <c r="BR455" s="1" t="s">
        <v>74</v>
      </c>
      <c r="BS455" s="1" t="s">
        <v>4760</v>
      </c>
      <c r="BT455" s="1" t="str">
        <f>HYPERLINK("https%3A%2F%2Fwww.webofscience.com%2Fwos%2Fwoscc%2Ffull-record%2FWOS:000447908500019","View Full Record in Web of Science")</f>
        <v>View Full Record in Web of Science</v>
      </c>
    </row>
    <row r="456" ht="12.75" customHeight="1">
      <c r="A456" s="1" t="s">
        <v>72</v>
      </c>
      <c r="B456" s="1" t="s">
        <v>4761</v>
      </c>
      <c r="C456" s="1" t="s">
        <v>74</v>
      </c>
      <c r="D456" s="1" t="s">
        <v>74</v>
      </c>
      <c r="E456" s="1" t="s">
        <v>74</v>
      </c>
      <c r="F456" s="1" t="s">
        <v>4762</v>
      </c>
      <c r="G456" s="1" t="s">
        <v>74</v>
      </c>
      <c r="H456" s="1" t="s">
        <v>74</v>
      </c>
      <c r="I456" s="1" t="s">
        <v>4763</v>
      </c>
      <c r="J456" s="1" t="s">
        <v>694</v>
      </c>
      <c r="K456" s="1" t="s">
        <v>74</v>
      </c>
      <c r="L456" s="1" t="s">
        <v>74</v>
      </c>
      <c r="M456" s="1" t="s">
        <v>74</v>
      </c>
      <c r="N456" s="1" t="s">
        <v>74</v>
      </c>
      <c r="O456" s="1" t="s">
        <v>74</v>
      </c>
      <c r="P456" s="1" t="s">
        <v>74</v>
      </c>
      <c r="Q456" s="1" t="s">
        <v>74</v>
      </c>
      <c r="R456" s="1" t="s">
        <v>74</v>
      </c>
      <c r="S456" s="1" t="s">
        <v>74</v>
      </c>
      <c r="T456" s="1" t="s">
        <v>74</v>
      </c>
      <c r="U456" s="1" t="s">
        <v>74</v>
      </c>
      <c r="V456" s="1" t="s">
        <v>4764</v>
      </c>
      <c r="W456" s="1" t="s">
        <v>74</v>
      </c>
      <c r="X456" s="1" t="s">
        <v>74</v>
      </c>
      <c r="Y456" s="1" t="s">
        <v>74</v>
      </c>
      <c r="Z456" s="1" t="s">
        <v>74</v>
      </c>
      <c r="AA456" s="1" t="s">
        <v>4765</v>
      </c>
      <c r="AB456" s="1" t="s">
        <v>4766</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698</v>
      </c>
      <c r="AP456" s="1" t="s">
        <v>699</v>
      </c>
      <c r="AQ456" s="1" t="s">
        <v>74</v>
      </c>
      <c r="AR456" s="1" t="s">
        <v>74</v>
      </c>
      <c r="AS456" s="1" t="s">
        <v>74</v>
      </c>
      <c r="AT456" s="1" t="s">
        <v>74</v>
      </c>
      <c r="AU456" s="1">
        <v>2018.0</v>
      </c>
      <c r="AV456" s="1">
        <v>13.0</v>
      </c>
      <c r="AW456" s="1">
        <v>1.0</v>
      </c>
      <c r="AX456" s="1" t="s">
        <v>74</v>
      </c>
      <c r="AY456" s="1" t="s">
        <v>74</v>
      </c>
      <c r="AZ456" s="1" t="s">
        <v>74</v>
      </c>
      <c r="BA456" s="1" t="s">
        <v>74</v>
      </c>
      <c r="BB456" s="1">
        <v>1.0</v>
      </c>
      <c r="BC456" s="1">
        <v>39.0</v>
      </c>
      <c r="BD456" s="1" t="s">
        <v>74</v>
      </c>
      <c r="BE456" s="1" t="s">
        <v>4767</v>
      </c>
      <c r="BF456" s="2" t="str">
        <f>HYPERLINK("http://dx.doi.org/10.1080/17470919.2016.1245214","http://dx.doi.org/10.1080/17470919.2016.1245214")</f>
        <v>http://dx.doi.org/10.1080/17470919.2016.1245214</v>
      </c>
      <c r="BG456" s="1" t="s">
        <v>74</v>
      </c>
      <c r="BH456" s="1" t="s">
        <v>74</v>
      </c>
      <c r="BI456" s="1" t="s">
        <v>74</v>
      </c>
      <c r="BJ456" s="1" t="s">
        <v>74</v>
      </c>
      <c r="BK456" s="1" t="s">
        <v>74</v>
      </c>
      <c r="BL456" s="1" t="s">
        <v>74</v>
      </c>
      <c r="BM456" s="1" t="s">
        <v>74</v>
      </c>
      <c r="BN456" s="1">
        <v>2.7707008E7</v>
      </c>
      <c r="BO456" s="1" t="s">
        <v>74</v>
      </c>
      <c r="BP456" s="1" t="s">
        <v>74</v>
      </c>
      <c r="BQ456" s="1" t="s">
        <v>74</v>
      </c>
      <c r="BR456" s="1" t="s">
        <v>74</v>
      </c>
      <c r="BS456" s="1" t="s">
        <v>4768</v>
      </c>
      <c r="BT456" s="1" t="str">
        <f>HYPERLINK("https%3A%2F%2Fwww.webofscience.com%2Fwos%2Fwoscc%2Ffull-record%2FWOS:000428736200001","View Full Record in Web of Science")</f>
        <v>View Full Record in Web of Science</v>
      </c>
    </row>
    <row r="457" ht="12.75" customHeight="1">
      <c r="A457" s="1" t="s">
        <v>72</v>
      </c>
      <c r="B457" s="1" t="s">
        <v>4769</v>
      </c>
      <c r="C457" s="1" t="s">
        <v>74</v>
      </c>
      <c r="D457" s="1" t="s">
        <v>74</v>
      </c>
      <c r="E457" s="1" t="s">
        <v>74</v>
      </c>
      <c r="F457" s="1" t="s">
        <v>4770</v>
      </c>
      <c r="G457" s="1" t="s">
        <v>74</v>
      </c>
      <c r="H457" s="1" t="s">
        <v>4771</v>
      </c>
      <c r="I457" s="1" t="s">
        <v>4772</v>
      </c>
      <c r="J457" s="1" t="s">
        <v>3724</v>
      </c>
      <c r="K457" s="1" t="s">
        <v>74</v>
      </c>
      <c r="L457" s="1" t="s">
        <v>74</v>
      </c>
      <c r="M457" s="1" t="s">
        <v>74</v>
      </c>
      <c r="N457" s="1" t="s">
        <v>74</v>
      </c>
      <c r="O457" s="1" t="s">
        <v>74</v>
      </c>
      <c r="P457" s="1" t="s">
        <v>74</v>
      </c>
      <c r="Q457" s="1" t="s">
        <v>74</v>
      </c>
      <c r="R457" s="1" t="s">
        <v>74</v>
      </c>
      <c r="S457" s="1" t="s">
        <v>74</v>
      </c>
      <c r="T457" s="1" t="s">
        <v>74</v>
      </c>
      <c r="U457" s="1" t="s">
        <v>74</v>
      </c>
      <c r="V457" s="1" t="s">
        <v>4773</v>
      </c>
      <c r="W457" s="1" t="s">
        <v>74</v>
      </c>
      <c r="X457" s="1" t="s">
        <v>74</v>
      </c>
      <c r="Y457" s="1" t="s">
        <v>74</v>
      </c>
      <c r="Z457" s="1" t="s">
        <v>74</v>
      </c>
      <c r="AA457" s="1" t="s">
        <v>4774</v>
      </c>
      <c r="AB457" s="1" t="s">
        <v>4775</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3728</v>
      </c>
      <c r="AP457" s="1" t="s">
        <v>3729</v>
      </c>
      <c r="AQ457" s="1" t="s">
        <v>74</v>
      </c>
      <c r="AR457" s="1" t="s">
        <v>74</v>
      </c>
      <c r="AS457" s="1" t="s">
        <v>74</v>
      </c>
      <c r="AT457" s="1" t="s">
        <v>74</v>
      </c>
      <c r="AU457" s="1">
        <v>2014.0</v>
      </c>
      <c r="AV457" s="1">
        <v>4.0</v>
      </c>
      <c r="AW457" s="1">
        <v>3.0</v>
      </c>
      <c r="AX457" s="1" t="s">
        <v>74</v>
      </c>
      <c r="AY457" s="1" t="s">
        <v>74</v>
      </c>
      <c r="AZ457" s="1" t="s">
        <v>74</v>
      </c>
      <c r="BA457" s="1" t="s">
        <v>74</v>
      </c>
      <c r="BB457" s="1">
        <v>361.0</v>
      </c>
      <c r="BC457" s="1">
        <v>373.0</v>
      </c>
      <c r="BD457" s="1" t="s">
        <v>74</v>
      </c>
      <c r="BE457" s="1" t="s">
        <v>4776</v>
      </c>
      <c r="BF457" s="2" t="str">
        <f>HYPERLINK("http://dx.doi.org/10.3233/JPD-130320","http://dx.doi.org/10.3233/JPD-130320")</f>
        <v>http://dx.doi.org/10.3233/JPD-130320</v>
      </c>
      <c r="BG457" s="1" t="s">
        <v>74</v>
      </c>
      <c r="BH457" s="1" t="s">
        <v>74</v>
      </c>
      <c r="BI457" s="1" t="s">
        <v>74</v>
      </c>
      <c r="BJ457" s="1" t="s">
        <v>74</v>
      </c>
      <c r="BK457" s="1" t="s">
        <v>74</v>
      </c>
      <c r="BL457" s="1" t="s">
        <v>74</v>
      </c>
      <c r="BM457" s="1" t="s">
        <v>74</v>
      </c>
      <c r="BN457" s="1">
        <v>2.4643203E7</v>
      </c>
      <c r="BO457" s="1" t="s">
        <v>74</v>
      </c>
      <c r="BP457" s="1" t="s">
        <v>74</v>
      </c>
      <c r="BQ457" s="1" t="s">
        <v>74</v>
      </c>
      <c r="BR457" s="1" t="s">
        <v>74</v>
      </c>
      <c r="BS457" s="1" t="s">
        <v>4777</v>
      </c>
      <c r="BT457" s="1" t="str">
        <f>HYPERLINK("https%3A%2F%2Fwww.webofscience.com%2Fwos%2Fwoscc%2Ffull-record%2FWOS:000341594600009","View Full Record in Web of Science")</f>
        <v>View Full Record in Web of Science</v>
      </c>
    </row>
    <row r="458" ht="12.75" customHeight="1">
      <c r="A458" s="1" t="s">
        <v>72</v>
      </c>
      <c r="B458" s="1" t="s">
        <v>4778</v>
      </c>
      <c r="C458" s="1" t="s">
        <v>74</v>
      </c>
      <c r="D458" s="1" t="s">
        <v>74</v>
      </c>
      <c r="E458" s="1" t="s">
        <v>74</v>
      </c>
      <c r="F458" s="1" t="s">
        <v>4779</v>
      </c>
      <c r="G458" s="1" t="s">
        <v>74</v>
      </c>
      <c r="H458" s="1" t="s">
        <v>74</v>
      </c>
      <c r="I458" s="1" t="s">
        <v>4780</v>
      </c>
      <c r="J458" s="1" t="s">
        <v>4781</v>
      </c>
      <c r="K458" s="1" t="s">
        <v>74</v>
      </c>
      <c r="L458" s="1" t="s">
        <v>74</v>
      </c>
      <c r="M458" s="1" t="s">
        <v>74</v>
      </c>
      <c r="N458" s="1" t="s">
        <v>74</v>
      </c>
      <c r="O458" s="1" t="s">
        <v>74</v>
      </c>
      <c r="P458" s="1" t="s">
        <v>74</v>
      </c>
      <c r="Q458" s="1" t="s">
        <v>74</v>
      </c>
      <c r="R458" s="1" t="s">
        <v>74</v>
      </c>
      <c r="S458" s="1" t="s">
        <v>74</v>
      </c>
      <c r="T458" s="1" t="s">
        <v>74</v>
      </c>
      <c r="U458" s="1" t="s">
        <v>74</v>
      </c>
      <c r="V458" s="1" t="s">
        <v>4782</v>
      </c>
      <c r="W458" s="1" t="s">
        <v>74</v>
      </c>
      <c r="X458" s="1" t="s">
        <v>74</v>
      </c>
      <c r="Y458" s="1" t="s">
        <v>74</v>
      </c>
      <c r="Z458" s="1" t="s">
        <v>74</v>
      </c>
      <c r="AA458" s="1" t="s">
        <v>4783</v>
      </c>
      <c r="AB458" s="1" t="s">
        <v>4784</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4785</v>
      </c>
      <c r="AP458" s="1" t="s">
        <v>4786</v>
      </c>
      <c r="AQ458" s="1" t="s">
        <v>74</v>
      </c>
      <c r="AR458" s="1" t="s">
        <v>74</v>
      </c>
      <c r="AS458" s="1" t="s">
        <v>74</v>
      </c>
      <c r="AT458" s="1" t="s">
        <v>4787</v>
      </c>
      <c r="AU458" s="1">
        <v>2024.0</v>
      </c>
      <c r="AV458" s="1">
        <v>26.0</v>
      </c>
      <c r="AW458" s="1">
        <v>25.0</v>
      </c>
      <c r="AX458" s="1" t="s">
        <v>74</v>
      </c>
      <c r="AY458" s="1" t="s">
        <v>74</v>
      </c>
      <c r="AZ458" s="1" t="s">
        <v>74</v>
      </c>
      <c r="BA458" s="1" t="s">
        <v>74</v>
      </c>
      <c r="BB458" s="1">
        <v>17609.0</v>
      </c>
      <c r="BC458" s="1">
        <v>17621.0</v>
      </c>
      <c r="BD458" s="1" t="s">
        <v>74</v>
      </c>
      <c r="BE458" s="1" t="s">
        <v>4788</v>
      </c>
      <c r="BF458" s="2" t="str">
        <f>HYPERLINK("http://dx.doi.org/10.1039/d4cp00825a","http://dx.doi.org/10.1039/d4cp00825a")</f>
        <v>http://dx.doi.org/10.1039/d4cp00825a</v>
      </c>
      <c r="BG458" s="1" t="s">
        <v>74</v>
      </c>
      <c r="BH458" s="1" t="s">
        <v>301</v>
      </c>
      <c r="BI458" s="1" t="s">
        <v>74</v>
      </c>
      <c r="BJ458" s="1" t="s">
        <v>74</v>
      </c>
      <c r="BK458" s="1" t="s">
        <v>74</v>
      </c>
      <c r="BL458" s="1" t="s">
        <v>74</v>
      </c>
      <c r="BM458" s="1" t="s">
        <v>74</v>
      </c>
      <c r="BN458" s="1">
        <v>3.8864309E7</v>
      </c>
      <c r="BO458" s="1" t="s">
        <v>74</v>
      </c>
      <c r="BP458" s="1" t="s">
        <v>74</v>
      </c>
      <c r="BQ458" s="1" t="s">
        <v>74</v>
      </c>
      <c r="BR458" s="1" t="s">
        <v>74</v>
      </c>
      <c r="BS458" s="1" t="s">
        <v>4789</v>
      </c>
      <c r="BT458" s="1" t="str">
        <f>HYPERLINK("https%3A%2F%2Fwww.webofscience.com%2Fwos%2Fwoscc%2Ffull-record%2FWOS:001244193400001","View Full Record in Web of Science")</f>
        <v>View Full Record in Web of Science</v>
      </c>
    </row>
    <row r="459" ht="12.75" customHeight="1">
      <c r="A459" s="1" t="s">
        <v>72</v>
      </c>
      <c r="B459" s="1" t="s">
        <v>4790</v>
      </c>
      <c r="C459" s="1" t="s">
        <v>74</v>
      </c>
      <c r="D459" s="1" t="s">
        <v>74</v>
      </c>
      <c r="E459" s="1" t="s">
        <v>74</v>
      </c>
      <c r="F459" s="1" t="s">
        <v>4791</v>
      </c>
      <c r="G459" s="1" t="s">
        <v>74</v>
      </c>
      <c r="H459" s="1" t="s">
        <v>74</v>
      </c>
      <c r="I459" s="1" t="s">
        <v>4792</v>
      </c>
      <c r="J459" s="1" t="s">
        <v>4793</v>
      </c>
      <c r="K459" s="1" t="s">
        <v>74</v>
      </c>
      <c r="L459" s="1" t="s">
        <v>74</v>
      </c>
      <c r="M459" s="1" t="s">
        <v>74</v>
      </c>
      <c r="N459" s="1" t="s">
        <v>74</v>
      </c>
      <c r="O459" s="1" t="s">
        <v>74</v>
      </c>
      <c r="P459" s="1" t="s">
        <v>74</v>
      </c>
      <c r="Q459" s="1" t="s">
        <v>74</v>
      </c>
      <c r="R459" s="1" t="s">
        <v>74</v>
      </c>
      <c r="S459" s="1" t="s">
        <v>74</v>
      </c>
      <c r="T459" s="1" t="s">
        <v>74</v>
      </c>
      <c r="U459" s="1" t="s">
        <v>74</v>
      </c>
      <c r="V459" s="1" t="s">
        <v>4794</v>
      </c>
      <c r="W459" s="1" t="s">
        <v>74</v>
      </c>
      <c r="X459" s="1" t="s">
        <v>74</v>
      </c>
      <c r="Y459" s="1" t="s">
        <v>74</v>
      </c>
      <c r="Z459" s="1" t="s">
        <v>74</v>
      </c>
      <c r="AA459" s="1" t="s">
        <v>4795</v>
      </c>
      <c r="AB459" s="1" t="s">
        <v>4796</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4797</v>
      </c>
      <c r="AP459" s="1" t="s">
        <v>4798</v>
      </c>
      <c r="AQ459" s="1" t="s">
        <v>74</v>
      </c>
      <c r="AR459" s="1" t="s">
        <v>74</v>
      </c>
      <c r="AS459" s="1" t="s">
        <v>74</v>
      </c>
      <c r="AT459" s="1" t="s">
        <v>239</v>
      </c>
      <c r="AU459" s="1">
        <v>2016.0</v>
      </c>
      <c r="AV459" s="1">
        <v>24.0</v>
      </c>
      <c r="AW459" s="1">
        <v>47.0</v>
      </c>
      <c r="AX459" s="1" t="s">
        <v>74</v>
      </c>
      <c r="AY459" s="1" t="s">
        <v>74</v>
      </c>
      <c r="AZ459" s="1" t="s">
        <v>74</v>
      </c>
      <c r="BA459" s="1" t="s">
        <v>74</v>
      </c>
      <c r="BB459" s="1">
        <v>47.0</v>
      </c>
      <c r="BC459" s="1">
        <v>55.0</v>
      </c>
      <c r="BD459" s="1" t="s">
        <v>74</v>
      </c>
      <c r="BE459" s="1" t="s">
        <v>4799</v>
      </c>
      <c r="BF459" s="2" t="str">
        <f>HYPERLINK("http://dx.doi.org/10.1016/j.rhm.2016.04.002","http://dx.doi.org/10.1016/j.rhm.2016.04.002")</f>
        <v>http://dx.doi.org/10.1016/j.rhm.2016.04.002</v>
      </c>
      <c r="BG459" s="1" t="s">
        <v>74</v>
      </c>
      <c r="BH459" s="1" t="s">
        <v>74</v>
      </c>
      <c r="BI459" s="1" t="s">
        <v>74</v>
      </c>
      <c r="BJ459" s="1" t="s">
        <v>74</v>
      </c>
      <c r="BK459" s="1" t="s">
        <v>74</v>
      </c>
      <c r="BL459" s="1" t="s">
        <v>74</v>
      </c>
      <c r="BM459" s="1" t="s">
        <v>74</v>
      </c>
      <c r="BN459" s="1">
        <v>2.7578338E7</v>
      </c>
      <c r="BO459" s="1" t="s">
        <v>74</v>
      </c>
      <c r="BP459" s="1" t="s">
        <v>74</v>
      </c>
      <c r="BQ459" s="1" t="s">
        <v>74</v>
      </c>
      <c r="BR459" s="1" t="s">
        <v>74</v>
      </c>
      <c r="BS459" s="1" t="s">
        <v>4800</v>
      </c>
      <c r="BT459" s="1" t="str">
        <f>HYPERLINK("https%3A%2F%2Fwww.webofscience.com%2Fwos%2Fwoscc%2Ffull-record%2FWOS:000389012500006","View Full Record in Web of Science")</f>
        <v>View Full Record in Web of Science</v>
      </c>
    </row>
    <row r="460" ht="12.75" customHeight="1">
      <c r="A460" s="1" t="s">
        <v>72</v>
      </c>
      <c r="B460" s="1" t="s">
        <v>4801</v>
      </c>
      <c r="C460" s="1" t="s">
        <v>74</v>
      </c>
      <c r="D460" s="1" t="s">
        <v>74</v>
      </c>
      <c r="E460" s="1" t="s">
        <v>74</v>
      </c>
      <c r="F460" s="1" t="s">
        <v>4802</v>
      </c>
      <c r="G460" s="1" t="s">
        <v>74</v>
      </c>
      <c r="H460" s="1" t="s">
        <v>74</v>
      </c>
      <c r="I460" s="1" t="s">
        <v>4803</v>
      </c>
      <c r="J460" s="1" t="s">
        <v>2110</v>
      </c>
      <c r="K460" s="1" t="s">
        <v>74</v>
      </c>
      <c r="L460" s="1" t="s">
        <v>74</v>
      </c>
      <c r="M460" s="1" t="s">
        <v>74</v>
      </c>
      <c r="N460" s="1" t="s">
        <v>74</v>
      </c>
      <c r="O460" s="1" t="s">
        <v>74</v>
      </c>
      <c r="P460" s="1" t="s">
        <v>74</v>
      </c>
      <c r="Q460" s="1" t="s">
        <v>74</v>
      </c>
      <c r="R460" s="1" t="s">
        <v>74</v>
      </c>
      <c r="S460" s="1" t="s">
        <v>74</v>
      </c>
      <c r="T460" s="1" t="s">
        <v>74</v>
      </c>
      <c r="U460" s="1" t="s">
        <v>74</v>
      </c>
      <c r="V460" s="1" t="s">
        <v>4804</v>
      </c>
      <c r="W460" s="1" t="s">
        <v>74</v>
      </c>
      <c r="X460" s="1" t="s">
        <v>74</v>
      </c>
      <c r="Y460" s="1" t="s">
        <v>74</v>
      </c>
      <c r="Z460" s="1" t="s">
        <v>74</v>
      </c>
      <c r="AA460" s="1" t="s">
        <v>4805</v>
      </c>
      <c r="AB460" s="1" t="s">
        <v>74</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4806</v>
      </c>
      <c r="AP460" s="1" t="s">
        <v>4807</v>
      </c>
      <c r="AQ460" s="1" t="s">
        <v>74</v>
      </c>
      <c r="AR460" s="1" t="s">
        <v>74</v>
      </c>
      <c r="AS460" s="1" t="s">
        <v>74</v>
      </c>
      <c r="AT460" s="1" t="s">
        <v>1654</v>
      </c>
      <c r="AU460" s="1">
        <v>2015.0</v>
      </c>
      <c r="AV460" s="1">
        <v>91.0</v>
      </c>
      <c r="AW460" s="1">
        <v>2.0</v>
      </c>
      <c r="AX460" s="1" t="s">
        <v>74</v>
      </c>
      <c r="AY460" s="1" t="s">
        <v>74</v>
      </c>
      <c r="AZ460" s="1" t="s">
        <v>74</v>
      </c>
      <c r="BA460" s="1" t="s">
        <v>74</v>
      </c>
      <c r="BB460" s="1" t="s">
        <v>74</v>
      </c>
      <c r="BC460" s="1" t="s">
        <v>74</v>
      </c>
      <c r="BD460" s="1">
        <v>22404.0</v>
      </c>
      <c r="BE460" s="1" t="s">
        <v>4808</v>
      </c>
      <c r="BF460" s="2" t="str">
        <f>HYPERLINK("http://dx.doi.org/10.1103/PhysRevE.91.022404","http://dx.doi.org/10.1103/PhysRevE.91.022404")</f>
        <v>http://dx.doi.org/10.1103/PhysRevE.91.022404</v>
      </c>
      <c r="BG460" s="1" t="s">
        <v>74</v>
      </c>
      <c r="BH460" s="1" t="s">
        <v>74</v>
      </c>
      <c r="BI460" s="1" t="s">
        <v>74</v>
      </c>
      <c r="BJ460" s="1" t="s">
        <v>74</v>
      </c>
      <c r="BK460" s="1" t="s">
        <v>74</v>
      </c>
      <c r="BL460" s="1" t="s">
        <v>74</v>
      </c>
      <c r="BM460" s="1" t="s">
        <v>74</v>
      </c>
      <c r="BN460" s="1">
        <v>2.5768515E7</v>
      </c>
      <c r="BO460" s="1" t="s">
        <v>74</v>
      </c>
      <c r="BP460" s="1" t="s">
        <v>74</v>
      </c>
      <c r="BQ460" s="1" t="s">
        <v>74</v>
      </c>
      <c r="BR460" s="1" t="s">
        <v>74</v>
      </c>
      <c r="BS460" s="1" t="s">
        <v>4809</v>
      </c>
      <c r="BT460" s="1" t="str">
        <f>HYPERLINK("https%3A%2F%2Fwww.webofscience.com%2Fwos%2Fwoscc%2Ffull-record%2FWOS:000350239900008","View Full Record in Web of Science")</f>
        <v>View Full Record in Web of Science</v>
      </c>
    </row>
    <row r="461" ht="12.75" customHeight="1">
      <c r="A461" s="1" t="s">
        <v>72</v>
      </c>
      <c r="B461" s="1" t="s">
        <v>4810</v>
      </c>
      <c r="C461" s="1" t="s">
        <v>74</v>
      </c>
      <c r="D461" s="1" t="s">
        <v>74</v>
      </c>
      <c r="E461" s="1" t="s">
        <v>74</v>
      </c>
      <c r="F461" s="1" t="s">
        <v>4811</v>
      </c>
      <c r="G461" s="1" t="s">
        <v>74</v>
      </c>
      <c r="H461" s="1" t="s">
        <v>74</v>
      </c>
      <c r="I461" s="1" t="s">
        <v>4812</v>
      </c>
      <c r="J461" s="1" t="s">
        <v>4813</v>
      </c>
      <c r="K461" s="1" t="s">
        <v>74</v>
      </c>
      <c r="L461" s="1" t="s">
        <v>74</v>
      </c>
      <c r="M461" s="1" t="s">
        <v>74</v>
      </c>
      <c r="N461" s="1" t="s">
        <v>74</v>
      </c>
      <c r="O461" s="1" t="s">
        <v>74</v>
      </c>
      <c r="P461" s="1" t="s">
        <v>74</v>
      </c>
      <c r="Q461" s="1" t="s">
        <v>74</v>
      </c>
      <c r="R461" s="1" t="s">
        <v>74</v>
      </c>
      <c r="S461" s="1" t="s">
        <v>74</v>
      </c>
      <c r="T461" s="1" t="s">
        <v>74</v>
      </c>
      <c r="U461" s="1" t="s">
        <v>74</v>
      </c>
      <c r="V461" s="1" t="s">
        <v>4814</v>
      </c>
      <c r="W461" s="1" t="s">
        <v>74</v>
      </c>
      <c r="X461" s="1" t="s">
        <v>74</v>
      </c>
      <c r="Y461" s="1" t="s">
        <v>74</v>
      </c>
      <c r="Z461" s="1" t="s">
        <v>74</v>
      </c>
      <c r="AA461" s="1" t="s">
        <v>4815</v>
      </c>
      <c r="AB461" s="1" t="s">
        <v>4816</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74</v>
      </c>
      <c r="AP461" s="1" t="s">
        <v>4817</v>
      </c>
      <c r="AQ461" s="1" t="s">
        <v>74</v>
      </c>
      <c r="AR461" s="1" t="s">
        <v>74</v>
      </c>
      <c r="AS461" s="1" t="s">
        <v>74</v>
      </c>
      <c r="AT461" s="1" t="s">
        <v>141</v>
      </c>
      <c r="AU461" s="1">
        <v>2021.0</v>
      </c>
      <c r="AV461" s="1">
        <v>5.0</v>
      </c>
      <c r="AW461" s="1">
        <v>3.0</v>
      </c>
      <c r="AX461" s="1" t="s">
        <v>74</v>
      </c>
      <c r="AY461" s="1" t="s">
        <v>74</v>
      </c>
      <c r="AZ461" s="1" t="s">
        <v>74</v>
      </c>
      <c r="BA461" s="1" t="s">
        <v>74</v>
      </c>
      <c r="BB461" s="1" t="s">
        <v>74</v>
      </c>
      <c r="BC461" s="1" t="s">
        <v>74</v>
      </c>
      <c r="BD461" s="1">
        <v>126.0</v>
      </c>
      <c r="BE461" s="1" t="s">
        <v>4818</v>
      </c>
      <c r="BF461" s="2" t="str">
        <f>HYPERLINK("http://dx.doi.org/10.3390/fractalfract5030126","http://dx.doi.org/10.3390/fractalfract5030126")</f>
        <v>http://dx.doi.org/10.3390/fractalfract5030126</v>
      </c>
      <c r="BG461" s="1" t="s">
        <v>74</v>
      </c>
      <c r="BH461" s="1" t="s">
        <v>74</v>
      </c>
      <c r="BI461" s="1" t="s">
        <v>74</v>
      </c>
      <c r="BJ461" s="1" t="s">
        <v>74</v>
      </c>
      <c r="BK461" s="1" t="s">
        <v>74</v>
      </c>
      <c r="BL461" s="1" t="s">
        <v>74</v>
      </c>
      <c r="BM461" s="1" t="s">
        <v>74</v>
      </c>
      <c r="BN461" s="1" t="s">
        <v>74</v>
      </c>
      <c r="BO461" s="1" t="s">
        <v>74</v>
      </c>
      <c r="BP461" s="1" t="s">
        <v>74</v>
      </c>
      <c r="BQ461" s="1" t="s">
        <v>74</v>
      </c>
      <c r="BR461" s="1" t="s">
        <v>74</v>
      </c>
      <c r="BS461" s="1" t="s">
        <v>4819</v>
      </c>
      <c r="BT461" s="1" t="str">
        <f>HYPERLINK("https%3A%2F%2Fwww.webofscience.com%2Fwos%2Fwoscc%2Ffull-record%2FWOS:000699517600001","View Full Record in Web of Science")</f>
        <v>View Full Record in Web of Science</v>
      </c>
    </row>
    <row r="462" ht="12.75" customHeight="1">
      <c r="A462" s="1" t="s">
        <v>72</v>
      </c>
      <c r="B462" s="1" t="s">
        <v>4820</v>
      </c>
      <c r="C462" s="1" t="s">
        <v>74</v>
      </c>
      <c r="D462" s="1" t="s">
        <v>74</v>
      </c>
      <c r="E462" s="1" t="s">
        <v>74</v>
      </c>
      <c r="F462" s="1" t="s">
        <v>4821</v>
      </c>
      <c r="G462" s="1" t="s">
        <v>74</v>
      </c>
      <c r="H462" s="1" t="s">
        <v>74</v>
      </c>
      <c r="I462" s="1" t="s">
        <v>4822</v>
      </c>
      <c r="J462" s="1" t="s">
        <v>4317</v>
      </c>
      <c r="K462" s="1" t="s">
        <v>74</v>
      </c>
      <c r="L462" s="1" t="s">
        <v>74</v>
      </c>
      <c r="M462" s="1" t="s">
        <v>74</v>
      </c>
      <c r="N462" s="1" t="s">
        <v>74</v>
      </c>
      <c r="O462" s="1" t="s">
        <v>74</v>
      </c>
      <c r="P462" s="1" t="s">
        <v>74</v>
      </c>
      <c r="Q462" s="1" t="s">
        <v>74</v>
      </c>
      <c r="R462" s="1" t="s">
        <v>74</v>
      </c>
      <c r="S462" s="1" t="s">
        <v>74</v>
      </c>
      <c r="T462" s="1" t="s">
        <v>74</v>
      </c>
      <c r="U462" s="1" t="s">
        <v>74</v>
      </c>
      <c r="V462" s="1" t="s">
        <v>4823</v>
      </c>
      <c r="W462" s="1" t="s">
        <v>74</v>
      </c>
      <c r="X462" s="1" t="s">
        <v>74</v>
      </c>
      <c r="Y462" s="1" t="s">
        <v>74</v>
      </c>
      <c r="Z462" s="1" t="s">
        <v>74</v>
      </c>
      <c r="AA462" s="1" t="s">
        <v>4824</v>
      </c>
      <c r="AB462" s="1" t="s">
        <v>4825</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4321</v>
      </c>
      <c r="AP462" s="1" t="s">
        <v>74</v>
      </c>
      <c r="AQ462" s="1" t="s">
        <v>74</v>
      </c>
      <c r="AR462" s="1" t="s">
        <v>74</v>
      </c>
      <c r="AS462" s="1" t="s">
        <v>74</v>
      </c>
      <c r="AT462" s="1" t="s">
        <v>4826</v>
      </c>
      <c r="AU462" s="1">
        <v>2020.0</v>
      </c>
      <c r="AV462" s="1">
        <v>11.0</v>
      </c>
      <c r="AW462" s="1" t="s">
        <v>74</v>
      </c>
      <c r="AX462" s="1" t="s">
        <v>74</v>
      </c>
      <c r="AY462" s="1" t="s">
        <v>74</v>
      </c>
      <c r="AZ462" s="1" t="s">
        <v>74</v>
      </c>
      <c r="BA462" s="1" t="s">
        <v>74</v>
      </c>
      <c r="BB462" s="1" t="s">
        <v>74</v>
      </c>
      <c r="BC462" s="1" t="s">
        <v>74</v>
      </c>
      <c r="BD462" s="1">
        <v>589543.0</v>
      </c>
      <c r="BE462" s="1" t="s">
        <v>4827</v>
      </c>
      <c r="BF462" s="2" t="str">
        <f>HYPERLINK("http://dx.doi.org/10.3389/fpsyg.2020.589543","http://dx.doi.org/10.3389/fpsyg.2020.589543")</f>
        <v>http://dx.doi.org/10.3389/fpsyg.2020.589543</v>
      </c>
      <c r="BG462" s="1" t="s">
        <v>74</v>
      </c>
      <c r="BH462" s="1" t="s">
        <v>74</v>
      </c>
      <c r="BI462" s="1" t="s">
        <v>74</v>
      </c>
      <c r="BJ462" s="1" t="s">
        <v>74</v>
      </c>
      <c r="BK462" s="1" t="s">
        <v>74</v>
      </c>
      <c r="BL462" s="1" t="s">
        <v>74</v>
      </c>
      <c r="BM462" s="1" t="s">
        <v>74</v>
      </c>
      <c r="BN462" s="1">
        <v>3.3391113E7</v>
      </c>
      <c r="BO462" s="1" t="s">
        <v>74</v>
      </c>
      <c r="BP462" s="1" t="s">
        <v>74</v>
      </c>
      <c r="BQ462" s="1" t="s">
        <v>74</v>
      </c>
      <c r="BR462" s="1" t="s">
        <v>74</v>
      </c>
      <c r="BS462" s="1" t="s">
        <v>4828</v>
      </c>
      <c r="BT462" s="1" t="str">
        <f>HYPERLINK("https%3A%2F%2Fwww.webofscience.com%2Fwos%2Fwoscc%2Ffull-record%2FWOS:000603985400001","View Full Record in Web of Science")</f>
        <v>View Full Record in Web of Science</v>
      </c>
    </row>
    <row r="463" ht="12.75" customHeight="1">
      <c r="A463" s="1" t="s">
        <v>72</v>
      </c>
      <c r="B463" s="1" t="s">
        <v>4829</v>
      </c>
      <c r="C463" s="1" t="s">
        <v>74</v>
      </c>
      <c r="D463" s="1" t="s">
        <v>74</v>
      </c>
      <c r="E463" s="1" t="s">
        <v>74</v>
      </c>
      <c r="F463" s="1" t="s">
        <v>4830</v>
      </c>
      <c r="G463" s="1" t="s">
        <v>74</v>
      </c>
      <c r="H463" s="1" t="s">
        <v>74</v>
      </c>
      <c r="I463" s="1" t="s">
        <v>4831</v>
      </c>
      <c r="J463" s="1" t="s">
        <v>739</v>
      </c>
      <c r="K463" s="1" t="s">
        <v>74</v>
      </c>
      <c r="L463" s="1" t="s">
        <v>74</v>
      </c>
      <c r="M463" s="1" t="s">
        <v>74</v>
      </c>
      <c r="N463" s="1" t="s">
        <v>74</v>
      </c>
      <c r="O463" s="1" t="s">
        <v>74</v>
      </c>
      <c r="P463" s="1" t="s">
        <v>74</v>
      </c>
      <c r="Q463" s="1" t="s">
        <v>74</v>
      </c>
      <c r="R463" s="1" t="s">
        <v>74</v>
      </c>
      <c r="S463" s="1" t="s">
        <v>74</v>
      </c>
      <c r="T463" s="1" t="s">
        <v>74</v>
      </c>
      <c r="U463" s="1" t="s">
        <v>74</v>
      </c>
      <c r="V463" s="1" t="s">
        <v>4832</v>
      </c>
      <c r="W463" s="1" t="s">
        <v>74</v>
      </c>
      <c r="X463" s="1" t="s">
        <v>74</v>
      </c>
      <c r="Y463" s="1" t="s">
        <v>74</v>
      </c>
      <c r="Z463" s="1" t="s">
        <v>74</v>
      </c>
      <c r="AA463" s="1" t="s">
        <v>4833</v>
      </c>
      <c r="AB463" s="1" t="s">
        <v>4834</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743</v>
      </c>
      <c r="AP463" s="1" t="s">
        <v>744</v>
      </c>
      <c r="AQ463" s="1" t="s">
        <v>74</v>
      </c>
      <c r="AR463" s="1" t="s">
        <v>74</v>
      </c>
      <c r="AS463" s="1" t="s">
        <v>74</v>
      </c>
      <c r="AT463" s="1" t="s">
        <v>4835</v>
      </c>
      <c r="AU463" s="1">
        <v>2020.0</v>
      </c>
      <c r="AV463" s="1">
        <v>101.0</v>
      </c>
      <c r="AW463" s="1">
        <v>20.0</v>
      </c>
      <c r="AX463" s="1" t="s">
        <v>74</v>
      </c>
      <c r="AY463" s="1" t="s">
        <v>74</v>
      </c>
      <c r="AZ463" s="1" t="s">
        <v>74</v>
      </c>
      <c r="BA463" s="1" t="s">
        <v>74</v>
      </c>
      <c r="BB463" s="1" t="s">
        <v>74</v>
      </c>
      <c r="BC463" s="1" t="s">
        <v>74</v>
      </c>
      <c r="BD463" s="1">
        <v>205425.0</v>
      </c>
      <c r="BE463" s="1" t="s">
        <v>4836</v>
      </c>
      <c r="BF463" s="2" t="str">
        <f>HYPERLINK("http://dx.doi.org/10.1103/PhysRevB.101.205425","http://dx.doi.org/10.1103/PhysRevB.101.205425")</f>
        <v>http://dx.doi.org/10.1103/PhysRevB.101.205425</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4837</v>
      </c>
      <c r="BT463" s="1" t="str">
        <f>HYPERLINK("https%3A%2F%2Fwww.webofscience.com%2Fwos%2Fwoscc%2Ffull-record%2FWOS:000535162600006","View Full Record in Web of Science")</f>
        <v>View Full Record in Web of Science</v>
      </c>
    </row>
    <row r="464" ht="12.75" customHeight="1">
      <c r="A464" s="1" t="s">
        <v>72</v>
      </c>
      <c r="B464" s="1" t="s">
        <v>4838</v>
      </c>
      <c r="C464" s="1" t="s">
        <v>74</v>
      </c>
      <c r="D464" s="1" t="s">
        <v>74</v>
      </c>
      <c r="E464" s="1" t="s">
        <v>74</v>
      </c>
      <c r="F464" s="1" t="s">
        <v>4839</v>
      </c>
      <c r="G464" s="1" t="s">
        <v>74</v>
      </c>
      <c r="H464" s="1" t="s">
        <v>74</v>
      </c>
      <c r="I464" s="1" t="s">
        <v>4840</v>
      </c>
      <c r="J464" s="1" t="s">
        <v>4841</v>
      </c>
      <c r="K464" s="1" t="s">
        <v>74</v>
      </c>
      <c r="L464" s="1" t="s">
        <v>74</v>
      </c>
      <c r="M464" s="1" t="s">
        <v>74</v>
      </c>
      <c r="N464" s="1" t="s">
        <v>74</v>
      </c>
      <c r="O464" s="1" t="s">
        <v>74</v>
      </c>
      <c r="P464" s="1" t="s">
        <v>74</v>
      </c>
      <c r="Q464" s="1" t="s">
        <v>74</v>
      </c>
      <c r="R464" s="1" t="s">
        <v>74</v>
      </c>
      <c r="S464" s="1" t="s">
        <v>74</v>
      </c>
      <c r="T464" s="1" t="s">
        <v>74</v>
      </c>
      <c r="U464" s="1" t="s">
        <v>74</v>
      </c>
      <c r="V464" s="1" t="s">
        <v>4842</v>
      </c>
      <c r="W464" s="1" t="s">
        <v>74</v>
      </c>
      <c r="X464" s="1" t="s">
        <v>74</v>
      </c>
      <c r="Y464" s="1" t="s">
        <v>74</v>
      </c>
      <c r="Z464" s="1" t="s">
        <v>74</v>
      </c>
      <c r="AA464" s="1" t="s">
        <v>4843</v>
      </c>
      <c r="AB464" s="1" t="s">
        <v>4844</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4845</v>
      </c>
      <c r="AP464" s="1" t="s">
        <v>4846</v>
      </c>
      <c r="AQ464" s="1" t="s">
        <v>74</v>
      </c>
      <c r="AR464" s="1" t="s">
        <v>74</v>
      </c>
      <c r="AS464" s="1" t="s">
        <v>74</v>
      </c>
      <c r="AT464" s="1" t="s">
        <v>745</v>
      </c>
      <c r="AU464" s="1">
        <v>2018.0</v>
      </c>
      <c r="AV464" s="1">
        <v>177.0</v>
      </c>
      <c r="AW464" s="1">
        <v>7.0</v>
      </c>
      <c r="AX464" s="1" t="s">
        <v>74</v>
      </c>
      <c r="AY464" s="1" t="s">
        <v>74</v>
      </c>
      <c r="AZ464" s="1" t="s">
        <v>74</v>
      </c>
      <c r="BA464" s="1" t="s">
        <v>74</v>
      </c>
      <c r="BB464" s="1">
        <v>1101.0</v>
      </c>
      <c r="BC464" s="1">
        <v>1109.0</v>
      </c>
      <c r="BD464" s="1" t="s">
        <v>74</v>
      </c>
      <c r="BE464" s="1" t="s">
        <v>4847</v>
      </c>
      <c r="BF464" s="2" t="str">
        <f>HYPERLINK("http://dx.doi.org/10.1007/s00431-018-3164-4","http://dx.doi.org/10.1007/s00431-018-3164-4")</f>
        <v>http://dx.doi.org/10.1007/s00431-018-3164-4</v>
      </c>
      <c r="BG464" s="1" t="s">
        <v>74</v>
      </c>
      <c r="BH464" s="1" t="s">
        <v>74</v>
      </c>
      <c r="BI464" s="1" t="s">
        <v>74</v>
      </c>
      <c r="BJ464" s="1" t="s">
        <v>74</v>
      </c>
      <c r="BK464" s="1" t="s">
        <v>74</v>
      </c>
      <c r="BL464" s="1" t="s">
        <v>74</v>
      </c>
      <c r="BM464" s="1" t="s">
        <v>74</v>
      </c>
      <c r="BN464" s="1">
        <v>2.9740692E7</v>
      </c>
      <c r="BO464" s="1" t="s">
        <v>74</v>
      </c>
      <c r="BP464" s="1" t="s">
        <v>74</v>
      </c>
      <c r="BQ464" s="1" t="s">
        <v>74</v>
      </c>
      <c r="BR464" s="1" t="s">
        <v>74</v>
      </c>
      <c r="BS464" s="1" t="s">
        <v>4848</v>
      </c>
      <c r="BT464" s="1" t="str">
        <f>HYPERLINK("https%3A%2F%2Fwww.webofscience.com%2Fwos%2Fwoscc%2Ffull-record%2FWOS:000435109000016","View Full Record in Web of Science")</f>
        <v>View Full Record in Web of Science</v>
      </c>
    </row>
    <row r="465" ht="12.75" customHeight="1">
      <c r="A465" s="1" t="s">
        <v>72</v>
      </c>
      <c r="B465" s="1" t="s">
        <v>4849</v>
      </c>
      <c r="C465" s="1" t="s">
        <v>74</v>
      </c>
      <c r="D465" s="1" t="s">
        <v>74</v>
      </c>
      <c r="E465" s="1" t="s">
        <v>74</v>
      </c>
      <c r="F465" s="1" t="s">
        <v>4850</v>
      </c>
      <c r="G465" s="1" t="s">
        <v>74</v>
      </c>
      <c r="H465" s="1" t="s">
        <v>74</v>
      </c>
      <c r="I465" s="1" t="s">
        <v>4851</v>
      </c>
      <c r="J465" s="1" t="s">
        <v>4852</v>
      </c>
      <c r="K465" s="1" t="s">
        <v>74</v>
      </c>
      <c r="L465" s="1" t="s">
        <v>74</v>
      </c>
      <c r="M465" s="1" t="s">
        <v>74</v>
      </c>
      <c r="N465" s="1" t="s">
        <v>74</v>
      </c>
      <c r="O465" s="1" t="s">
        <v>74</v>
      </c>
      <c r="P465" s="1" t="s">
        <v>74</v>
      </c>
      <c r="Q465" s="1" t="s">
        <v>74</v>
      </c>
      <c r="R465" s="1" t="s">
        <v>74</v>
      </c>
      <c r="S465" s="1" t="s">
        <v>74</v>
      </c>
      <c r="T465" s="1" t="s">
        <v>74</v>
      </c>
      <c r="U465" s="1" t="s">
        <v>74</v>
      </c>
      <c r="V465" s="1" t="s">
        <v>4853</v>
      </c>
      <c r="W465" s="1" t="s">
        <v>74</v>
      </c>
      <c r="X465" s="1" t="s">
        <v>74</v>
      </c>
      <c r="Y465" s="1" t="s">
        <v>74</v>
      </c>
      <c r="Z465" s="1" t="s">
        <v>74</v>
      </c>
      <c r="AA465" s="1" t="s">
        <v>4854</v>
      </c>
      <c r="AB465" s="1" t="s">
        <v>4855</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4856</v>
      </c>
      <c r="AP465" s="1" t="s">
        <v>4857</v>
      </c>
      <c r="AQ465" s="1" t="s">
        <v>74</v>
      </c>
      <c r="AR465" s="1" t="s">
        <v>74</v>
      </c>
      <c r="AS465" s="1" t="s">
        <v>74</v>
      </c>
      <c r="AT465" s="1" t="s">
        <v>74</v>
      </c>
      <c r="AU465" s="1">
        <v>2009.0</v>
      </c>
      <c r="AV465" s="1">
        <v>8.0</v>
      </c>
      <c r="AW465" s="1">
        <v>4.0</v>
      </c>
      <c r="AX465" s="1" t="s">
        <v>74</v>
      </c>
      <c r="AY465" s="1" t="s">
        <v>74</v>
      </c>
      <c r="AZ465" s="1" t="s">
        <v>74</v>
      </c>
      <c r="BA465" s="1" t="s">
        <v>74</v>
      </c>
      <c r="BB465" s="1">
        <v>516.0</v>
      </c>
      <c r="BC465" s="1">
        <v>527.0</v>
      </c>
      <c r="BD465" s="1" t="s">
        <v>74</v>
      </c>
      <c r="BE465" s="1" t="s">
        <v>4858</v>
      </c>
      <c r="BF465" s="2" t="str">
        <f>HYPERLINK("http://dx.doi.org/10.1039/b817018e","http://dx.doi.org/10.1039/b817018e")</f>
        <v>http://dx.doi.org/10.1039/b817018e</v>
      </c>
      <c r="BG465" s="1" t="s">
        <v>74</v>
      </c>
      <c r="BH465" s="1" t="s">
        <v>74</v>
      </c>
      <c r="BI465" s="1" t="s">
        <v>74</v>
      </c>
      <c r="BJ465" s="1" t="s">
        <v>74</v>
      </c>
      <c r="BK465" s="1" t="s">
        <v>74</v>
      </c>
      <c r="BL465" s="1" t="s">
        <v>74</v>
      </c>
      <c r="BM465" s="1" t="s">
        <v>74</v>
      </c>
      <c r="BN465" s="1">
        <v>1.9337666E7</v>
      </c>
      <c r="BO465" s="1" t="s">
        <v>74</v>
      </c>
      <c r="BP465" s="1" t="s">
        <v>74</v>
      </c>
      <c r="BQ465" s="1" t="s">
        <v>74</v>
      </c>
      <c r="BR465" s="1" t="s">
        <v>74</v>
      </c>
      <c r="BS465" s="1" t="s">
        <v>4859</v>
      </c>
      <c r="BT465" s="1" t="str">
        <f>HYPERLINK("https%3A%2F%2Fwww.webofscience.com%2Fwos%2Fwoscc%2Ffull-record%2FWOS:000264747000012","View Full Record in Web of Science")</f>
        <v>View Full Record in Web of Science</v>
      </c>
    </row>
    <row r="466" ht="12.75" customHeight="1">
      <c r="A466" s="1" t="s">
        <v>72</v>
      </c>
      <c r="B466" s="1" t="s">
        <v>4860</v>
      </c>
      <c r="C466" s="1" t="s">
        <v>74</v>
      </c>
      <c r="D466" s="1" t="s">
        <v>74</v>
      </c>
      <c r="E466" s="1" t="s">
        <v>74</v>
      </c>
      <c r="F466" s="1" t="s">
        <v>4861</v>
      </c>
      <c r="G466" s="1" t="s">
        <v>74</v>
      </c>
      <c r="H466" s="1" t="s">
        <v>74</v>
      </c>
      <c r="I466" s="1" t="s">
        <v>4862</v>
      </c>
      <c r="J466" s="1" t="s">
        <v>4863</v>
      </c>
      <c r="K466" s="1" t="s">
        <v>74</v>
      </c>
      <c r="L466" s="1" t="s">
        <v>74</v>
      </c>
      <c r="M466" s="1" t="s">
        <v>74</v>
      </c>
      <c r="N466" s="1" t="s">
        <v>74</v>
      </c>
      <c r="O466" s="1" t="s">
        <v>74</v>
      </c>
      <c r="P466" s="1" t="s">
        <v>74</v>
      </c>
      <c r="Q466" s="1" t="s">
        <v>74</v>
      </c>
      <c r="R466" s="1" t="s">
        <v>74</v>
      </c>
      <c r="S466" s="1" t="s">
        <v>74</v>
      </c>
      <c r="T466" s="1" t="s">
        <v>74</v>
      </c>
      <c r="U466" s="1" t="s">
        <v>74</v>
      </c>
      <c r="V466" s="1" t="s">
        <v>4864</v>
      </c>
      <c r="W466" s="1" t="s">
        <v>74</v>
      </c>
      <c r="X466" s="1" t="s">
        <v>74</v>
      </c>
      <c r="Y466" s="1" t="s">
        <v>74</v>
      </c>
      <c r="Z466" s="1" t="s">
        <v>74</v>
      </c>
      <c r="AA466" s="1" t="s">
        <v>4865</v>
      </c>
      <c r="AB466" s="1" t="s">
        <v>4866</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4867</v>
      </c>
      <c r="AP466" s="1" t="s">
        <v>4868</v>
      </c>
      <c r="AQ466" s="1" t="s">
        <v>74</v>
      </c>
      <c r="AR466" s="1" t="s">
        <v>74</v>
      </c>
      <c r="AS466" s="1" t="s">
        <v>74</v>
      </c>
      <c r="AT466" s="1" t="s">
        <v>334</v>
      </c>
      <c r="AU466" s="1">
        <v>2021.0</v>
      </c>
      <c r="AV466" s="1">
        <v>91.0</v>
      </c>
      <c r="AW466" s="1" t="s">
        <v>74</v>
      </c>
      <c r="AX466" s="1" t="s">
        <v>74</v>
      </c>
      <c r="AY466" s="1" t="s">
        <v>74</v>
      </c>
      <c r="AZ466" s="1" t="s">
        <v>74</v>
      </c>
      <c r="BA466" s="1" t="s">
        <v>74</v>
      </c>
      <c r="BB466" s="1" t="s">
        <v>74</v>
      </c>
      <c r="BC466" s="1" t="s">
        <v>74</v>
      </c>
      <c r="BD466" s="1">
        <v>153664.0</v>
      </c>
      <c r="BE466" s="1" t="s">
        <v>4869</v>
      </c>
      <c r="BF466" s="2" t="str">
        <f>HYPERLINK("http://dx.doi.org/10.1016/j.phymed.2021.153664","http://dx.doi.org/10.1016/j.phymed.2021.153664")</f>
        <v>http://dx.doi.org/10.1016/j.phymed.2021.153664</v>
      </c>
      <c r="BG466" s="1" t="s">
        <v>74</v>
      </c>
      <c r="BH466" s="1" t="s">
        <v>178</v>
      </c>
      <c r="BI466" s="1" t="s">
        <v>74</v>
      </c>
      <c r="BJ466" s="1" t="s">
        <v>74</v>
      </c>
      <c r="BK466" s="1" t="s">
        <v>74</v>
      </c>
      <c r="BL466" s="1" t="s">
        <v>74</v>
      </c>
      <c r="BM466" s="1" t="s">
        <v>74</v>
      </c>
      <c r="BN466" s="1">
        <v>3.4391082E7</v>
      </c>
      <c r="BO466" s="1" t="s">
        <v>74</v>
      </c>
      <c r="BP466" s="1" t="s">
        <v>74</v>
      </c>
      <c r="BQ466" s="1" t="s">
        <v>74</v>
      </c>
      <c r="BR466" s="1" t="s">
        <v>74</v>
      </c>
      <c r="BS466" s="1" t="s">
        <v>4870</v>
      </c>
      <c r="BT466" s="1" t="str">
        <f>HYPERLINK("https%3A%2F%2Fwww.webofscience.com%2Fwos%2Fwoscc%2Ffull-record%2FWOS:000696238900015","View Full Record in Web of Science")</f>
        <v>View Full Record in Web of Science</v>
      </c>
    </row>
    <row r="467" ht="12.75" customHeight="1">
      <c r="A467" s="1" t="s">
        <v>72</v>
      </c>
      <c r="B467" s="1" t="s">
        <v>4871</v>
      </c>
      <c r="C467" s="1" t="s">
        <v>74</v>
      </c>
      <c r="D467" s="1" t="s">
        <v>74</v>
      </c>
      <c r="E467" s="1" t="s">
        <v>74</v>
      </c>
      <c r="F467" s="1" t="s">
        <v>4872</v>
      </c>
      <c r="G467" s="1" t="s">
        <v>74</v>
      </c>
      <c r="H467" s="1" t="s">
        <v>74</v>
      </c>
      <c r="I467" s="1" t="s">
        <v>4873</v>
      </c>
      <c r="J467" s="1" t="s">
        <v>4874</v>
      </c>
      <c r="K467" s="1" t="s">
        <v>74</v>
      </c>
      <c r="L467" s="1" t="s">
        <v>74</v>
      </c>
      <c r="M467" s="1" t="s">
        <v>74</v>
      </c>
      <c r="N467" s="1" t="s">
        <v>74</v>
      </c>
      <c r="O467" s="1" t="s">
        <v>74</v>
      </c>
      <c r="P467" s="1" t="s">
        <v>74</v>
      </c>
      <c r="Q467" s="1" t="s">
        <v>74</v>
      </c>
      <c r="R467" s="1" t="s">
        <v>74</v>
      </c>
      <c r="S467" s="1" t="s">
        <v>74</v>
      </c>
      <c r="T467" s="1" t="s">
        <v>74</v>
      </c>
      <c r="U467" s="1" t="s">
        <v>74</v>
      </c>
      <c r="V467" s="1" t="s">
        <v>4875</v>
      </c>
      <c r="W467" s="1" t="s">
        <v>74</v>
      </c>
      <c r="X467" s="1" t="s">
        <v>74</v>
      </c>
      <c r="Y467" s="1" t="s">
        <v>74</v>
      </c>
      <c r="Z467" s="1" t="s">
        <v>74</v>
      </c>
      <c r="AA467" s="1" t="s">
        <v>4876</v>
      </c>
      <c r="AB467" s="1" t="s">
        <v>4877</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4878</v>
      </c>
      <c r="AP467" s="1" t="s">
        <v>4879</v>
      </c>
      <c r="AQ467" s="1" t="s">
        <v>74</v>
      </c>
      <c r="AR467" s="1" t="s">
        <v>74</v>
      </c>
      <c r="AS467" s="1" t="s">
        <v>74</v>
      </c>
      <c r="AT467" s="1" t="s">
        <v>346</v>
      </c>
      <c r="AU467" s="1">
        <v>2025.0</v>
      </c>
      <c r="AV467" s="1">
        <v>55.0</v>
      </c>
      <c r="AW467" s="1" t="s">
        <v>74</v>
      </c>
      <c r="AX467" s="1" t="s">
        <v>74</v>
      </c>
      <c r="AY467" s="1" t="s">
        <v>74</v>
      </c>
      <c r="AZ467" s="1" t="s">
        <v>74</v>
      </c>
      <c r="BA467" s="1" t="s">
        <v>74</v>
      </c>
      <c r="BB467" s="1">
        <v>47.0</v>
      </c>
      <c r="BC467" s="1">
        <v>55.0</v>
      </c>
      <c r="BD467" s="1" t="s">
        <v>74</v>
      </c>
      <c r="BE467" s="1" t="s">
        <v>4880</v>
      </c>
      <c r="BF467" s="2" t="str">
        <f>HYPERLINK("http://dx.doi.org/10.1016/j.ejpn.2025.03.008","http://dx.doi.org/10.1016/j.ejpn.2025.03.008")</f>
        <v>http://dx.doi.org/10.1016/j.ejpn.2025.03.008</v>
      </c>
      <c r="BG467" s="1" t="s">
        <v>74</v>
      </c>
      <c r="BH467" s="1" t="s">
        <v>4881</v>
      </c>
      <c r="BI467" s="1" t="s">
        <v>74</v>
      </c>
      <c r="BJ467" s="1" t="s">
        <v>74</v>
      </c>
      <c r="BK467" s="1" t="s">
        <v>74</v>
      </c>
      <c r="BL467" s="1" t="s">
        <v>74</v>
      </c>
      <c r="BM467" s="1" t="s">
        <v>74</v>
      </c>
      <c r="BN467" s="1">
        <v>4.0112439E7</v>
      </c>
      <c r="BO467" s="1" t="s">
        <v>74</v>
      </c>
      <c r="BP467" s="1" t="s">
        <v>74</v>
      </c>
      <c r="BQ467" s="1" t="s">
        <v>74</v>
      </c>
      <c r="BR467" s="1" t="s">
        <v>74</v>
      </c>
      <c r="BS467" s="1" t="s">
        <v>4882</v>
      </c>
      <c r="BT467" s="1" t="str">
        <f>HYPERLINK("https%3A%2F%2Fwww.webofscience.com%2Fwos%2Fwoscc%2Ffull-record%2FWOS:001451767400001","View Full Record in Web of Science")</f>
        <v>View Full Record in Web of Science</v>
      </c>
    </row>
    <row r="468" ht="12.75" customHeight="1">
      <c r="A468" s="1" t="s">
        <v>72</v>
      </c>
      <c r="B468" s="1" t="s">
        <v>4883</v>
      </c>
      <c r="C468" s="1" t="s">
        <v>74</v>
      </c>
      <c r="D468" s="1" t="s">
        <v>74</v>
      </c>
      <c r="E468" s="1" t="s">
        <v>74</v>
      </c>
      <c r="F468" s="1" t="s">
        <v>4884</v>
      </c>
      <c r="G468" s="1" t="s">
        <v>74</v>
      </c>
      <c r="H468" s="1" t="s">
        <v>74</v>
      </c>
      <c r="I468" s="1" t="s">
        <v>4885</v>
      </c>
      <c r="J468" s="1" t="s">
        <v>4886</v>
      </c>
      <c r="K468" s="1" t="s">
        <v>74</v>
      </c>
      <c r="L468" s="1" t="s">
        <v>74</v>
      </c>
      <c r="M468" s="1" t="s">
        <v>74</v>
      </c>
      <c r="N468" s="1" t="s">
        <v>74</v>
      </c>
      <c r="O468" s="1" t="s">
        <v>74</v>
      </c>
      <c r="P468" s="1" t="s">
        <v>74</v>
      </c>
      <c r="Q468" s="1" t="s">
        <v>74</v>
      </c>
      <c r="R468" s="1" t="s">
        <v>74</v>
      </c>
      <c r="S468" s="1" t="s">
        <v>74</v>
      </c>
      <c r="T468" s="1" t="s">
        <v>74</v>
      </c>
      <c r="U468" s="1" t="s">
        <v>74</v>
      </c>
      <c r="V468" s="1" t="s">
        <v>4887</v>
      </c>
      <c r="W468" s="1" t="s">
        <v>74</v>
      </c>
      <c r="X468" s="1" t="s">
        <v>74</v>
      </c>
      <c r="Y468" s="1" t="s">
        <v>74</v>
      </c>
      <c r="Z468" s="1" t="s">
        <v>74</v>
      </c>
      <c r="AA468" s="1" t="s">
        <v>4888</v>
      </c>
      <c r="AB468" s="1" t="s">
        <v>4889</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74</v>
      </c>
      <c r="AP468" s="1" t="s">
        <v>4890</v>
      </c>
      <c r="AQ468" s="1" t="s">
        <v>74</v>
      </c>
      <c r="AR468" s="1" t="s">
        <v>74</v>
      </c>
      <c r="AS468" s="1" t="s">
        <v>74</v>
      </c>
      <c r="AT468" s="1" t="s">
        <v>106</v>
      </c>
      <c r="AU468" s="1">
        <v>2024.0</v>
      </c>
      <c r="AV468" s="1">
        <v>14.0</v>
      </c>
      <c r="AW468" s="1">
        <v>11.0</v>
      </c>
      <c r="AX468" s="1" t="s">
        <v>74</v>
      </c>
      <c r="AY468" s="1" t="s">
        <v>74</v>
      </c>
      <c r="AZ468" s="1" t="s">
        <v>74</v>
      </c>
      <c r="BA468" s="1" t="s">
        <v>74</v>
      </c>
      <c r="BB468" s="1" t="s">
        <v>74</v>
      </c>
      <c r="BC468" s="1" t="s">
        <v>74</v>
      </c>
      <c r="BD468" s="1">
        <v>1470.0</v>
      </c>
      <c r="BE468" s="1" t="s">
        <v>4891</v>
      </c>
      <c r="BF468" s="2" t="str">
        <f>HYPERLINK("http://dx.doi.org/10.3390/biom14111470","http://dx.doi.org/10.3390/biom14111470")</f>
        <v>http://dx.doi.org/10.3390/biom14111470</v>
      </c>
      <c r="BG468" s="1" t="s">
        <v>74</v>
      </c>
      <c r="BH468" s="1" t="s">
        <v>74</v>
      </c>
      <c r="BI468" s="1" t="s">
        <v>74</v>
      </c>
      <c r="BJ468" s="1" t="s">
        <v>74</v>
      </c>
      <c r="BK468" s="1" t="s">
        <v>74</v>
      </c>
      <c r="BL468" s="1" t="s">
        <v>74</v>
      </c>
      <c r="BM468" s="1" t="s">
        <v>74</v>
      </c>
      <c r="BN468" s="1">
        <v>3.9595646E7</v>
      </c>
      <c r="BO468" s="1" t="s">
        <v>74</v>
      </c>
      <c r="BP468" s="1" t="s">
        <v>74</v>
      </c>
      <c r="BQ468" s="1" t="s">
        <v>74</v>
      </c>
      <c r="BR468" s="1" t="s">
        <v>74</v>
      </c>
      <c r="BS468" s="1" t="s">
        <v>4892</v>
      </c>
      <c r="BT468" s="1" t="str">
        <f>HYPERLINK("https%3A%2F%2Fwww.webofscience.com%2Fwos%2Fwoscc%2Ffull-record%2FWOS:001367738300001","View Full Record in Web of Science")</f>
        <v>View Full Record in Web of Science</v>
      </c>
    </row>
    <row r="469" ht="12.75" customHeight="1">
      <c r="A469" s="1" t="s">
        <v>72</v>
      </c>
      <c r="B469" s="1" t="s">
        <v>4893</v>
      </c>
      <c r="C469" s="1" t="s">
        <v>74</v>
      </c>
      <c r="D469" s="1" t="s">
        <v>74</v>
      </c>
      <c r="E469" s="1" t="s">
        <v>74</v>
      </c>
      <c r="F469" s="1" t="s">
        <v>4894</v>
      </c>
      <c r="G469" s="1" t="s">
        <v>74</v>
      </c>
      <c r="H469" s="1" t="s">
        <v>74</v>
      </c>
      <c r="I469" s="1" t="s">
        <v>4895</v>
      </c>
      <c r="J469" s="1" t="s">
        <v>4896</v>
      </c>
      <c r="K469" s="1" t="s">
        <v>74</v>
      </c>
      <c r="L469" s="1" t="s">
        <v>74</v>
      </c>
      <c r="M469" s="1" t="s">
        <v>74</v>
      </c>
      <c r="N469" s="1" t="s">
        <v>74</v>
      </c>
      <c r="O469" s="1" t="s">
        <v>74</v>
      </c>
      <c r="P469" s="1" t="s">
        <v>74</v>
      </c>
      <c r="Q469" s="1" t="s">
        <v>74</v>
      </c>
      <c r="R469" s="1" t="s">
        <v>74</v>
      </c>
      <c r="S469" s="1" t="s">
        <v>74</v>
      </c>
      <c r="T469" s="1" t="s">
        <v>74</v>
      </c>
      <c r="U469" s="1" t="s">
        <v>74</v>
      </c>
      <c r="V469" s="1" t="s">
        <v>4897</v>
      </c>
      <c r="W469" s="1" t="s">
        <v>74</v>
      </c>
      <c r="X469" s="1" t="s">
        <v>74</v>
      </c>
      <c r="Y469" s="1" t="s">
        <v>74</v>
      </c>
      <c r="Z469" s="1" t="s">
        <v>74</v>
      </c>
      <c r="AA469" s="1" t="s">
        <v>4898</v>
      </c>
      <c r="AB469" s="1" t="s">
        <v>4899</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4900</v>
      </c>
      <c r="AP469" s="1" t="s">
        <v>4901</v>
      </c>
      <c r="AQ469" s="1" t="s">
        <v>74</v>
      </c>
      <c r="AR469" s="1" t="s">
        <v>74</v>
      </c>
      <c r="AS469" s="1" t="s">
        <v>74</v>
      </c>
      <c r="AT469" s="1" t="s">
        <v>4902</v>
      </c>
      <c r="AU469" s="1">
        <v>2024.0</v>
      </c>
      <c r="AV469" s="1" t="s">
        <v>74</v>
      </c>
      <c r="AW469" s="1" t="s">
        <v>74</v>
      </c>
      <c r="AX469" s="1" t="s">
        <v>74</v>
      </c>
      <c r="AY469" s="1" t="s">
        <v>74</v>
      </c>
      <c r="AZ469" s="1" t="s">
        <v>74</v>
      </c>
      <c r="BA469" s="1" t="s">
        <v>74</v>
      </c>
      <c r="BB469" s="1" t="s">
        <v>74</v>
      </c>
      <c r="BC469" s="1" t="s">
        <v>74</v>
      </c>
      <c r="BD469" s="1" t="s">
        <v>74</v>
      </c>
      <c r="BE469" s="1" t="s">
        <v>4903</v>
      </c>
      <c r="BF469" s="2" t="str">
        <f>HYPERLINK("http://dx.doi.org/10.1177/13670069241267136","http://dx.doi.org/10.1177/13670069241267136")</f>
        <v>http://dx.doi.org/10.1177/13670069241267136</v>
      </c>
      <c r="BG469" s="1" t="s">
        <v>74</v>
      </c>
      <c r="BH469" s="1" t="s">
        <v>689</v>
      </c>
      <c r="BI469" s="1" t="s">
        <v>74</v>
      </c>
      <c r="BJ469" s="1" t="s">
        <v>74</v>
      </c>
      <c r="BK469" s="1" t="s">
        <v>74</v>
      </c>
      <c r="BL469" s="1" t="s">
        <v>74</v>
      </c>
      <c r="BM469" s="1" t="s">
        <v>74</v>
      </c>
      <c r="BN469" s="1" t="s">
        <v>74</v>
      </c>
      <c r="BO469" s="1" t="s">
        <v>74</v>
      </c>
      <c r="BP469" s="1" t="s">
        <v>74</v>
      </c>
      <c r="BQ469" s="1" t="s">
        <v>74</v>
      </c>
      <c r="BR469" s="1" t="s">
        <v>74</v>
      </c>
      <c r="BS469" s="1" t="s">
        <v>4904</v>
      </c>
      <c r="BT469" s="1" t="str">
        <f>HYPERLINK("https%3A%2F%2Fwww.webofscience.com%2Fwos%2Fwoscc%2Ffull-record%2FWOS:001279799500001","View Full Record in Web of Science")</f>
        <v>View Full Record in Web of Science</v>
      </c>
    </row>
    <row r="470" ht="12.75" customHeight="1">
      <c r="A470" s="1" t="s">
        <v>72</v>
      </c>
      <c r="B470" s="1" t="s">
        <v>4905</v>
      </c>
      <c r="C470" s="1" t="s">
        <v>74</v>
      </c>
      <c r="D470" s="1" t="s">
        <v>74</v>
      </c>
      <c r="E470" s="1" t="s">
        <v>74</v>
      </c>
      <c r="F470" s="1" t="s">
        <v>4906</v>
      </c>
      <c r="G470" s="1" t="s">
        <v>74</v>
      </c>
      <c r="H470" s="1" t="s">
        <v>74</v>
      </c>
      <c r="I470" s="1" t="s">
        <v>4907</v>
      </c>
      <c r="J470" s="1" t="s">
        <v>3462</v>
      </c>
      <c r="K470" s="1" t="s">
        <v>74</v>
      </c>
      <c r="L470" s="1" t="s">
        <v>74</v>
      </c>
      <c r="M470" s="1" t="s">
        <v>74</v>
      </c>
      <c r="N470" s="1" t="s">
        <v>74</v>
      </c>
      <c r="O470" s="1" t="s">
        <v>74</v>
      </c>
      <c r="P470" s="1" t="s">
        <v>74</v>
      </c>
      <c r="Q470" s="1" t="s">
        <v>74</v>
      </c>
      <c r="R470" s="1" t="s">
        <v>74</v>
      </c>
      <c r="S470" s="1" t="s">
        <v>74</v>
      </c>
      <c r="T470" s="1" t="s">
        <v>74</v>
      </c>
      <c r="U470" s="1" t="s">
        <v>74</v>
      </c>
      <c r="V470" s="1" t="s">
        <v>4908</v>
      </c>
      <c r="W470" s="1" t="s">
        <v>74</v>
      </c>
      <c r="X470" s="1" t="s">
        <v>74</v>
      </c>
      <c r="Y470" s="1" t="s">
        <v>74</v>
      </c>
      <c r="Z470" s="1" t="s">
        <v>74</v>
      </c>
      <c r="AA470" s="1" t="s">
        <v>4909</v>
      </c>
      <c r="AB470" s="1" t="s">
        <v>4910</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3466</v>
      </c>
      <c r="AP470" s="1" t="s">
        <v>3467</v>
      </c>
      <c r="AQ470" s="1" t="s">
        <v>74</v>
      </c>
      <c r="AR470" s="1" t="s">
        <v>74</v>
      </c>
      <c r="AS470" s="1" t="s">
        <v>74</v>
      </c>
      <c r="AT470" s="1" t="s">
        <v>745</v>
      </c>
      <c r="AU470" s="1">
        <v>2023.0</v>
      </c>
      <c r="AV470" s="1">
        <v>73.0</v>
      </c>
      <c r="AW470" s="1">
        <v>1.0</v>
      </c>
      <c r="AX470" s="1" t="s">
        <v>74</v>
      </c>
      <c r="AY470" s="1" t="s">
        <v>1303</v>
      </c>
      <c r="AZ470" s="1" t="s">
        <v>74</v>
      </c>
      <c r="BA470" s="1" t="s">
        <v>74</v>
      </c>
      <c r="BB470" s="1" t="s">
        <v>4911</v>
      </c>
      <c r="BC470" s="1" t="s">
        <v>4912</v>
      </c>
      <c r="BD470" s="1" t="s">
        <v>74</v>
      </c>
      <c r="BE470" s="1" t="s">
        <v>4913</v>
      </c>
      <c r="BF470" s="2" t="str">
        <f>HYPERLINK("http://dx.doi.org/10.1016/j.jadohealth.2022.09.033","http://dx.doi.org/10.1016/j.jadohealth.2022.09.033")</f>
        <v>http://dx.doi.org/10.1016/j.jadohealth.2022.09.033</v>
      </c>
      <c r="BG470" s="1" t="s">
        <v>74</v>
      </c>
      <c r="BH470" s="1" t="s">
        <v>1507</v>
      </c>
      <c r="BI470" s="1" t="s">
        <v>74</v>
      </c>
      <c r="BJ470" s="1" t="s">
        <v>74</v>
      </c>
      <c r="BK470" s="1" t="s">
        <v>74</v>
      </c>
      <c r="BL470" s="1" t="s">
        <v>74</v>
      </c>
      <c r="BM470" s="1" t="s">
        <v>74</v>
      </c>
      <c r="BN470" s="1">
        <v>3.7330822E7</v>
      </c>
      <c r="BO470" s="1" t="s">
        <v>74</v>
      </c>
      <c r="BP470" s="1" t="s">
        <v>74</v>
      </c>
      <c r="BQ470" s="1" t="s">
        <v>74</v>
      </c>
      <c r="BR470" s="1" t="s">
        <v>74</v>
      </c>
      <c r="BS470" s="1" t="s">
        <v>4914</v>
      </c>
      <c r="BT470" s="1" t="str">
        <f>HYPERLINK("https%3A%2F%2Fwww.webofscience.com%2Fwos%2Fwoscc%2Ffull-record%2FWOS:001038798900008","View Full Record in Web of Science")</f>
        <v>View Full Record in Web of Science</v>
      </c>
    </row>
    <row r="471" ht="12.75" customHeight="1">
      <c r="A471" s="1" t="s">
        <v>72</v>
      </c>
      <c r="B471" s="1" t="s">
        <v>4915</v>
      </c>
      <c r="C471" s="1" t="s">
        <v>74</v>
      </c>
      <c r="D471" s="1" t="s">
        <v>74</v>
      </c>
      <c r="E471" s="1" t="s">
        <v>74</v>
      </c>
      <c r="F471" s="1" t="s">
        <v>4916</v>
      </c>
      <c r="G471" s="1" t="s">
        <v>74</v>
      </c>
      <c r="H471" s="1" t="s">
        <v>74</v>
      </c>
      <c r="I471" s="1" t="s">
        <v>4917</v>
      </c>
      <c r="J471" s="1" t="s">
        <v>871</v>
      </c>
      <c r="K471" s="1" t="s">
        <v>74</v>
      </c>
      <c r="L471" s="1" t="s">
        <v>74</v>
      </c>
      <c r="M471" s="1" t="s">
        <v>74</v>
      </c>
      <c r="N471" s="1" t="s">
        <v>74</v>
      </c>
      <c r="O471" s="1" t="s">
        <v>74</v>
      </c>
      <c r="P471" s="1" t="s">
        <v>74</v>
      </c>
      <c r="Q471" s="1" t="s">
        <v>74</v>
      </c>
      <c r="R471" s="1" t="s">
        <v>74</v>
      </c>
      <c r="S471" s="1" t="s">
        <v>74</v>
      </c>
      <c r="T471" s="1" t="s">
        <v>74</v>
      </c>
      <c r="U471" s="1" t="s">
        <v>74</v>
      </c>
      <c r="V471" s="1" t="s">
        <v>4918</v>
      </c>
      <c r="W471" s="1" t="s">
        <v>74</v>
      </c>
      <c r="X471" s="1" t="s">
        <v>74</v>
      </c>
      <c r="Y471" s="1" t="s">
        <v>74</v>
      </c>
      <c r="Z471" s="1" t="s">
        <v>74</v>
      </c>
      <c r="AA471" s="1" t="s">
        <v>4919</v>
      </c>
      <c r="AB471" s="1" t="s">
        <v>4920</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74</v>
      </c>
      <c r="AP471" s="1" t="s">
        <v>875</v>
      </c>
      <c r="AQ471" s="1" t="s">
        <v>74</v>
      </c>
      <c r="AR471" s="1" t="s">
        <v>74</v>
      </c>
      <c r="AS471" s="1" t="s">
        <v>74</v>
      </c>
      <c r="AT471" s="1" t="s">
        <v>94</v>
      </c>
      <c r="AU471" s="1">
        <v>2021.0</v>
      </c>
      <c r="AV471" s="1">
        <v>14.0</v>
      </c>
      <c r="AW471" s="1">
        <v>24.0</v>
      </c>
      <c r="AX471" s="1" t="s">
        <v>74</v>
      </c>
      <c r="AY471" s="1" t="s">
        <v>74</v>
      </c>
      <c r="AZ471" s="1" t="s">
        <v>74</v>
      </c>
      <c r="BA471" s="1" t="s">
        <v>74</v>
      </c>
      <c r="BB471" s="1" t="s">
        <v>74</v>
      </c>
      <c r="BC471" s="1" t="s">
        <v>74</v>
      </c>
      <c r="BD471" s="1">
        <v>7596.0</v>
      </c>
      <c r="BE471" s="1" t="s">
        <v>4921</v>
      </c>
      <c r="BF471" s="2" t="str">
        <f>HYPERLINK("http://dx.doi.org/10.3390/ma14247596","http://dx.doi.org/10.3390/ma14247596")</f>
        <v>http://dx.doi.org/10.3390/ma14247596</v>
      </c>
      <c r="BG471" s="1" t="s">
        <v>74</v>
      </c>
      <c r="BH471" s="1" t="s">
        <v>74</v>
      </c>
      <c r="BI471" s="1" t="s">
        <v>74</v>
      </c>
      <c r="BJ471" s="1" t="s">
        <v>74</v>
      </c>
      <c r="BK471" s="1" t="s">
        <v>74</v>
      </c>
      <c r="BL471" s="1" t="s">
        <v>74</v>
      </c>
      <c r="BM471" s="1" t="s">
        <v>74</v>
      </c>
      <c r="BN471" s="1">
        <v>3.494719E7</v>
      </c>
      <c r="BO471" s="1" t="s">
        <v>74</v>
      </c>
      <c r="BP471" s="1" t="s">
        <v>74</v>
      </c>
      <c r="BQ471" s="1" t="s">
        <v>74</v>
      </c>
      <c r="BR471" s="1" t="s">
        <v>74</v>
      </c>
      <c r="BS471" s="1" t="s">
        <v>4922</v>
      </c>
      <c r="BT471" s="1" t="str">
        <f>HYPERLINK("https%3A%2F%2Fwww.webofscience.com%2Fwos%2Fwoscc%2Ffull-record%2FWOS:000738749900001","View Full Record in Web of Science")</f>
        <v>View Full Record in Web of Science</v>
      </c>
    </row>
    <row r="472" ht="12.75" customHeight="1">
      <c r="A472" s="1" t="s">
        <v>72</v>
      </c>
      <c r="B472" s="1" t="s">
        <v>4923</v>
      </c>
      <c r="C472" s="1" t="s">
        <v>74</v>
      </c>
      <c r="D472" s="1" t="s">
        <v>74</v>
      </c>
      <c r="E472" s="1" t="s">
        <v>74</v>
      </c>
      <c r="F472" s="1" t="s">
        <v>4924</v>
      </c>
      <c r="G472" s="1" t="s">
        <v>74</v>
      </c>
      <c r="H472" s="1" t="s">
        <v>74</v>
      </c>
      <c r="I472" s="1" t="s">
        <v>4925</v>
      </c>
      <c r="J472" s="1" t="s">
        <v>4926</v>
      </c>
      <c r="K472" s="1" t="s">
        <v>74</v>
      </c>
      <c r="L472" s="1" t="s">
        <v>74</v>
      </c>
      <c r="M472" s="1" t="s">
        <v>74</v>
      </c>
      <c r="N472" s="1" t="s">
        <v>74</v>
      </c>
      <c r="O472" s="1" t="s">
        <v>74</v>
      </c>
      <c r="P472" s="1" t="s">
        <v>74</v>
      </c>
      <c r="Q472" s="1" t="s">
        <v>74</v>
      </c>
      <c r="R472" s="1" t="s">
        <v>74</v>
      </c>
      <c r="S472" s="1" t="s">
        <v>74</v>
      </c>
      <c r="T472" s="1" t="s">
        <v>74</v>
      </c>
      <c r="U472" s="1" t="s">
        <v>74</v>
      </c>
      <c r="V472" s="1" t="s">
        <v>4927</v>
      </c>
      <c r="W472" s="1" t="s">
        <v>74</v>
      </c>
      <c r="X472" s="1" t="s">
        <v>74</v>
      </c>
      <c r="Y472" s="1" t="s">
        <v>74</v>
      </c>
      <c r="Z472" s="1" t="s">
        <v>74</v>
      </c>
      <c r="AA472" s="1" t="s">
        <v>4928</v>
      </c>
      <c r="AB472" s="1" t="s">
        <v>4929</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74</v>
      </c>
      <c r="AP472" s="1" t="s">
        <v>4930</v>
      </c>
      <c r="AQ472" s="1" t="s">
        <v>74</v>
      </c>
      <c r="AR472" s="1" t="s">
        <v>74</v>
      </c>
      <c r="AS472" s="1" t="s">
        <v>74</v>
      </c>
      <c r="AT472" s="1" t="s">
        <v>106</v>
      </c>
      <c r="AU472" s="1">
        <v>2021.0</v>
      </c>
      <c r="AV472" s="1">
        <v>11.0</v>
      </c>
      <c r="AW472" s="1">
        <v>11.0</v>
      </c>
      <c r="AX472" s="1" t="s">
        <v>74</v>
      </c>
      <c r="AY472" s="1" t="s">
        <v>74</v>
      </c>
      <c r="AZ472" s="1" t="s">
        <v>74</v>
      </c>
      <c r="BA472" s="1" t="s">
        <v>74</v>
      </c>
      <c r="BB472" s="1" t="s">
        <v>74</v>
      </c>
      <c r="BC472" s="1" t="s">
        <v>74</v>
      </c>
      <c r="BD472" s="1">
        <v>1394.0</v>
      </c>
      <c r="BE472" s="1" t="s">
        <v>4931</v>
      </c>
      <c r="BF472" s="2" t="str">
        <f>HYPERLINK("http://dx.doi.org/10.3390/cryst11111394","http://dx.doi.org/10.3390/cryst11111394")</f>
        <v>http://dx.doi.org/10.3390/cryst11111394</v>
      </c>
      <c r="BG472" s="1" t="s">
        <v>74</v>
      </c>
      <c r="BH472" s="1" t="s">
        <v>74</v>
      </c>
      <c r="BI472" s="1" t="s">
        <v>74</v>
      </c>
      <c r="BJ472" s="1" t="s">
        <v>74</v>
      </c>
      <c r="BK472" s="1" t="s">
        <v>74</v>
      </c>
      <c r="BL472" s="1" t="s">
        <v>74</v>
      </c>
      <c r="BM472" s="1" t="s">
        <v>74</v>
      </c>
      <c r="BN472" s="1" t="s">
        <v>74</v>
      </c>
      <c r="BO472" s="1" t="s">
        <v>74</v>
      </c>
      <c r="BP472" s="1" t="s">
        <v>74</v>
      </c>
      <c r="BQ472" s="1" t="s">
        <v>74</v>
      </c>
      <c r="BR472" s="1" t="s">
        <v>74</v>
      </c>
      <c r="BS472" s="1" t="s">
        <v>4932</v>
      </c>
      <c r="BT472" s="1" t="str">
        <f>HYPERLINK("https%3A%2F%2Fwww.webofscience.com%2Fwos%2Fwoscc%2Ffull-record%2FWOS:000725151000001","View Full Record in Web of Science")</f>
        <v>View Full Record in Web of Science</v>
      </c>
    </row>
    <row r="473" ht="12.75" customHeight="1">
      <c r="A473" s="1" t="s">
        <v>72</v>
      </c>
      <c r="B473" s="1" t="s">
        <v>4933</v>
      </c>
      <c r="C473" s="1" t="s">
        <v>74</v>
      </c>
      <c r="D473" s="1" t="s">
        <v>74</v>
      </c>
      <c r="E473" s="1" t="s">
        <v>74</v>
      </c>
      <c r="F473" s="1" t="s">
        <v>4934</v>
      </c>
      <c r="G473" s="1" t="s">
        <v>74</v>
      </c>
      <c r="H473" s="1" t="s">
        <v>74</v>
      </c>
      <c r="I473" s="1" t="s">
        <v>4935</v>
      </c>
      <c r="J473" s="1" t="s">
        <v>3217</v>
      </c>
      <c r="K473" s="1" t="s">
        <v>74</v>
      </c>
      <c r="L473" s="1" t="s">
        <v>74</v>
      </c>
      <c r="M473" s="1" t="s">
        <v>74</v>
      </c>
      <c r="N473" s="1" t="s">
        <v>74</v>
      </c>
      <c r="O473" s="1" t="s">
        <v>74</v>
      </c>
      <c r="P473" s="1" t="s">
        <v>74</v>
      </c>
      <c r="Q473" s="1" t="s">
        <v>74</v>
      </c>
      <c r="R473" s="1" t="s">
        <v>74</v>
      </c>
      <c r="S473" s="1" t="s">
        <v>74</v>
      </c>
      <c r="T473" s="1" t="s">
        <v>74</v>
      </c>
      <c r="U473" s="1" t="s">
        <v>74</v>
      </c>
      <c r="V473" s="1" t="s">
        <v>4936</v>
      </c>
      <c r="W473" s="1" t="s">
        <v>74</v>
      </c>
      <c r="X473" s="1" t="s">
        <v>74</v>
      </c>
      <c r="Y473" s="1" t="s">
        <v>74</v>
      </c>
      <c r="Z473" s="1" t="s">
        <v>74</v>
      </c>
      <c r="AA473" s="1" t="s">
        <v>4937</v>
      </c>
      <c r="AB473" s="1" t="s">
        <v>4938</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74</v>
      </c>
      <c r="AP473" s="1" t="s">
        <v>3221</v>
      </c>
      <c r="AQ473" s="1" t="s">
        <v>74</v>
      </c>
      <c r="AR473" s="1" t="s">
        <v>74</v>
      </c>
      <c r="AS473" s="1" t="s">
        <v>74</v>
      </c>
      <c r="AT473" s="1" t="s">
        <v>141</v>
      </c>
      <c r="AU473" s="1">
        <v>2021.0</v>
      </c>
      <c r="AV473" s="1">
        <v>13.0</v>
      </c>
      <c r="AW473" s="1">
        <v>17.0</v>
      </c>
      <c r="AX473" s="1" t="s">
        <v>74</v>
      </c>
      <c r="AY473" s="1" t="s">
        <v>74</v>
      </c>
      <c r="AZ473" s="1" t="s">
        <v>74</v>
      </c>
      <c r="BA473" s="1" t="s">
        <v>74</v>
      </c>
      <c r="BB473" s="1" t="s">
        <v>74</v>
      </c>
      <c r="BC473" s="1" t="s">
        <v>74</v>
      </c>
      <c r="BD473" s="1">
        <v>9600.0</v>
      </c>
      <c r="BE473" s="1" t="s">
        <v>4939</v>
      </c>
      <c r="BF473" s="2" t="str">
        <f>HYPERLINK("http://dx.doi.org/10.3390/su13179600","http://dx.doi.org/10.3390/su13179600")</f>
        <v>http://dx.doi.org/10.3390/su13179600</v>
      </c>
      <c r="BG473" s="1" t="s">
        <v>74</v>
      </c>
      <c r="BH473" s="1" t="s">
        <v>74</v>
      </c>
      <c r="BI473" s="1" t="s">
        <v>74</v>
      </c>
      <c r="BJ473" s="1" t="s">
        <v>74</v>
      </c>
      <c r="BK473" s="1" t="s">
        <v>74</v>
      </c>
      <c r="BL473" s="1" t="s">
        <v>74</v>
      </c>
      <c r="BM473" s="1" t="s">
        <v>74</v>
      </c>
      <c r="BN473" s="1" t="s">
        <v>74</v>
      </c>
      <c r="BO473" s="1" t="s">
        <v>74</v>
      </c>
      <c r="BP473" s="1" t="s">
        <v>74</v>
      </c>
      <c r="BQ473" s="1" t="s">
        <v>74</v>
      </c>
      <c r="BR473" s="1" t="s">
        <v>74</v>
      </c>
      <c r="BS473" s="1" t="s">
        <v>4940</v>
      </c>
      <c r="BT473" s="1" t="str">
        <f>HYPERLINK("https%3A%2F%2Fwww.webofscience.com%2Fwos%2Fwoscc%2Ffull-record%2FWOS:000695602400001","View Full Record in Web of Science")</f>
        <v>View Full Record in Web of Science</v>
      </c>
    </row>
    <row r="474" ht="12.75" customHeight="1">
      <c r="A474" s="1" t="s">
        <v>72</v>
      </c>
      <c r="B474" s="1" t="s">
        <v>4941</v>
      </c>
      <c r="C474" s="1" t="s">
        <v>74</v>
      </c>
      <c r="D474" s="1" t="s">
        <v>74</v>
      </c>
      <c r="E474" s="1" t="s">
        <v>74</v>
      </c>
      <c r="F474" s="1" t="s">
        <v>4942</v>
      </c>
      <c r="G474" s="1" t="s">
        <v>74</v>
      </c>
      <c r="H474" s="1" t="s">
        <v>74</v>
      </c>
      <c r="I474" s="1" t="s">
        <v>4943</v>
      </c>
      <c r="J474" s="1" t="s">
        <v>4944</v>
      </c>
      <c r="K474" s="1" t="s">
        <v>74</v>
      </c>
      <c r="L474" s="1" t="s">
        <v>74</v>
      </c>
      <c r="M474" s="1" t="s">
        <v>74</v>
      </c>
      <c r="N474" s="1" t="s">
        <v>74</v>
      </c>
      <c r="O474" s="1" t="s">
        <v>74</v>
      </c>
      <c r="P474" s="1" t="s">
        <v>74</v>
      </c>
      <c r="Q474" s="1" t="s">
        <v>74</v>
      </c>
      <c r="R474" s="1" t="s">
        <v>74</v>
      </c>
      <c r="S474" s="1" t="s">
        <v>74</v>
      </c>
      <c r="T474" s="1" t="s">
        <v>74</v>
      </c>
      <c r="U474" s="1" t="s">
        <v>74</v>
      </c>
      <c r="V474" s="1" t="s">
        <v>4945</v>
      </c>
      <c r="W474" s="1" t="s">
        <v>74</v>
      </c>
      <c r="X474" s="1" t="s">
        <v>74</v>
      </c>
      <c r="Y474" s="1" t="s">
        <v>74</v>
      </c>
      <c r="Z474" s="1" t="s">
        <v>74</v>
      </c>
      <c r="AA474" s="1" t="s">
        <v>4946</v>
      </c>
      <c r="AB474" s="1" t="s">
        <v>4947</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4948</v>
      </c>
      <c r="AP474" s="1" t="s">
        <v>4949</v>
      </c>
      <c r="AQ474" s="1" t="s">
        <v>74</v>
      </c>
      <c r="AR474" s="1" t="s">
        <v>74</v>
      </c>
      <c r="AS474" s="1" t="s">
        <v>74</v>
      </c>
      <c r="AT474" s="1" t="s">
        <v>130</v>
      </c>
      <c r="AU474" s="1">
        <v>2020.0</v>
      </c>
      <c r="AV474" s="1">
        <v>1866.0</v>
      </c>
      <c r="AW474" s="1">
        <v>2.0</v>
      </c>
      <c r="AX474" s="1" t="s">
        <v>74</v>
      </c>
      <c r="AY474" s="1" t="s">
        <v>74</v>
      </c>
      <c r="AZ474" s="1" t="s">
        <v>74</v>
      </c>
      <c r="BA474" s="1" t="s">
        <v>74</v>
      </c>
      <c r="BB474" s="1" t="s">
        <v>74</v>
      </c>
      <c r="BC474" s="1" t="s">
        <v>74</v>
      </c>
      <c r="BD474" s="1">
        <v>165414.0</v>
      </c>
      <c r="BE474" s="1" t="s">
        <v>4950</v>
      </c>
      <c r="BF474" s="2" t="str">
        <f>HYPERLINK("http://dx.doi.org/10.1016/j.bbadis.2019.02.009","http://dx.doi.org/10.1016/j.bbadis.2019.02.009")</f>
        <v>http://dx.doi.org/10.1016/j.bbadis.2019.02.009</v>
      </c>
      <c r="BG474" s="1" t="s">
        <v>74</v>
      </c>
      <c r="BH474" s="1" t="s">
        <v>74</v>
      </c>
      <c r="BI474" s="1" t="s">
        <v>74</v>
      </c>
      <c r="BJ474" s="1" t="s">
        <v>74</v>
      </c>
      <c r="BK474" s="1" t="s">
        <v>74</v>
      </c>
      <c r="BL474" s="1" t="s">
        <v>74</v>
      </c>
      <c r="BM474" s="1" t="s">
        <v>74</v>
      </c>
      <c r="BN474" s="1">
        <v>3.0794867E7</v>
      </c>
      <c r="BO474" s="1" t="s">
        <v>74</v>
      </c>
      <c r="BP474" s="1" t="s">
        <v>74</v>
      </c>
      <c r="BQ474" s="1" t="s">
        <v>74</v>
      </c>
      <c r="BR474" s="1" t="s">
        <v>74</v>
      </c>
      <c r="BS474" s="1" t="s">
        <v>4951</v>
      </c>
      <c r="BT474" s="1" t="str">
        <f>HYPERLINK("https%3A%2F%2Fwww.webofscience.com%2Fwos%2Fwoscc%2Ffull-record%2FWOS:000509614800002","View Full Record in Web of Science")</f>
        <v>View Full Record in Web of Science</v>
      </c>
    </row>
    <row r="475" ht="12.75" customHeight="1">
      <c r="A475" s="1" t="s">
        <v>72</v>
      </c>
      <c r="B475" s="1" t="s">
        <v>4952</v>
      </c>
      <c r="C475" s="1" t="s">
        <v>74</v>
      </c>
      <c r="D475" s="1" t="s">
        <v>74</v>
      </c>
      <c r="E475" s="1" t="s">
        <v>74</v>
      </c>
      <c r="F475" s="1" t="s">
        <v>4953</v>
      </c>
      <c r="G475" s="1" t="s">
        <v>74</v>
      </c>
      <c r="H475" s="1" t="s">
        <v>74</v>
      </c>
      <c r="I475" s="1" t="s">
        <v>4954</v>
      </c>
      <c r="J475" s="1" t="s">
        <v>1648</v>
      </c>
      <c r="K475" s="1" t="s">
        <v>74</v>
      </c>
      <c r="L475" s="1" t="s">
        <v>74</v>
      </c>
      <c r="M475" s="1" t="s">
        <v>74</v>
      </c>
      <c r="N475" s="1" t="s">
        <v>74</v>
      </c>
      <c r="O475" s="1" t="s">
        <v>74</v>
      </c>
      <c r="P475" s="1" t="s">
        <v>74</v>
      </c>
      <c r="Q475" s="1" t="s">
        <v>74</v>
      </c>
      <c r="R475" s="1" t="s">
        <v>74</v>
      </c>
      <c r="S475" s="1" t="s">
        <v>74</v>
      </c>
      <c r="T475" s="1" t="s">
        <v>74</v>
      </c>
      <c r="U475" s="1" t="s">
        <v>74</v>
      </c>
      <c r="V475" s="1" t="s">
        <v>4955</v>
      </c>
      <c r="W475" s="1" t="s">
        <v>74</v>
      </c>
      <c r="X475" s="1" t="s">
        <v>74</v>
      </c>
      <c r="Y475" s="1" t="s">
        <v>74</v>
      </c>
      <c r="Z475" s="1" t="s">
        <v>74</v>
      </c>
      <c r="AA475" s="1" t="s">
        <v>4956</v>
      </c>
      <c r="AB475" s="1" t="s">
        <v>4957</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1652</v>
      </c>
      <c r="AP475" s="1" t="s">
        <v>1653</v>
      </c>
      <c r="AQ475" s="1" t="s">
        <v>74</v>
      </c>
      <c r="AR475" s="1" t="s">
        <v>74</v>
      </c>
      <c r="AS475" s="1" t="s">
        <v>74</v>
      </c>
      <c r="AT475" s="1" t="s">
        <v>4958</v>
      </c>
      <c r="AU475" s="1">
        <v>2016.0</v>
      </c>
      <c r="AV475" s="1">
        <v>27.0</v>
      </c>
      <c r="AW475" s="1">
        <v>34.0</v>
      </c>
      <c r="AX475" s="1" t="s">
        <v>74</v>
      </c>
      <c r="AY475" s="1" t="s">
        <v>74</v>
      </c>
      <c r="AZ475" s="1" t="s">
        <v>74</v>
      </c>
      <c r="BA475" s="1" t="s">
        <v>74</v>
      </c>
      <c r="BB475" s="1" t="s">
        <v>74</v>
      </c>
      <c r="BC475" s="1" t="s">
        <v>74</v>
      </c>
      <c r="BD475" s="1">
        <v>345707.0</v>
      </c>
      <c r="BE475" s="1" t="s">
        <v>4959</v>
      </c>
      <c r="BF475" s="2" t="str">
        <f>HYPERLINK("http://dx.doi.org/10.1088/0957-4484/27/34/345707","http://dx.doi.org/10.1088/0957-4484/27/34/345707")</f>
        <v>http://dx.doi.org/10.1088/0957-4484/27/34/345707</v>
      </c>
      <c r="BG475" s="1" t="s">
        <v>74</v>
      </c>
      <c r="BH475" s="1" t="s">
        <v>74</v>
      </c>
      <c r="BI475" s="1" t="s">
        <v>74</v>
      </c>
      <c r="BJ475" s="1" t="s">
        <v>74</v>
      </c>
      <c r="BK475" s="1" t="s">
        <v>74</v>
      </c>
      <c r="BL475" s="1" t="s">
        <v>74</v>
      </c>
      <c r="BM475" s="1" t="s">
        <v>74</v>
      </c>
      <c r="BN475" s="1">
        <v>2.7454574E7</v>
      </c>
      <c r="BO475" s="1" t="s">
        <v>74</v>
      </c>
      <c r="BP475" s="1" t="s">
        <v>74</v>
      </c>
      <c r="BQ475" s="1" t="s">
        <v>74</v>
      </c>
      <c r="BR475" s="1" t="s">
        <v>74</v>
      </c>
      <c r="BS475" s="1" t="s">
        <v>4960</v>
      </c>
      <c r="BT475" s="1" t="str">
        <f>HYPERLINK("https%3A%2F%2Fwww.webofscience.com%2Fwos%2Fwoscc%2Ffull-record%2FWOS:000383963300021","View Full Record in Web of Science")</f>
        <v>View Full Record in Web of Science</v>
      </c>
    </row>
    <row r="476" ht="12.75" customHeight="1">
      <c r="A476" s="1" t="s">
        <v>72</v>
      </c>
      <c r="B476" s="1" t="s">
        <v>4961</v>
      </c>
      <c r="C476" s="1" t="s">
        <v>74</v>
      </c>
      <c r="D476" s="1" t="s">
        <v>74</v>
      </c>
      <c r="E476" s="1" t="s">
        <v>74</v>
      </c>
      <c r="F476" s="1" t="s">
        <v>4962</v>
      </c>
      <c r="G476" s="1" t="s">
        <v>74</v>
      </c>
      <c r="H476" s="1" t="s">
        <v>74</v>
      </c>
      <c r="I476" s="1" t="s">
        <v>4963</v>
      </c>
      <c r="J476" s="1" t="s">
        <v>4964</v>
      </c>
      <c r="K476" s="1" t="s">
        <v>74</v>
      </c>
      <c r="L476" s="1" t="s">
        <v>74</v>
      </c>
      <c r="M476" s="1" t="s">
        <v>74</v>
      </c>
      <c r="N476" s="1" t="s">
        <v>74</v>
      </c>
      <c r="O476" s="1" t="s">
        <v>74</v>
      </c>
      <c r="P476" s="1" t="s">
        <v>74</v>
      </c>
      <c r="Q476" s="1" t="s">
        <v>74</v>
      </c>
      <c r="R476" s="1" t="s">
        <v>74</v>
      </c>
      <c r="S476" s="1" t="s">
        <v>74</v>
      </c>
      <c r="T476" s="1" t="s">
        <v>74</v>
      </c>
      <c r="U476" s="1" t="s">
        <v>74</v>
      </c>
      <c r="V476" s="1" t="s">
        <v>4965</v>
      </c>
      <c r="W476" s="1" t="s">
        <v>74</v>
      </c>
      <c r="X476" s="1" t="s">
        <v>74</v>
      </c>
      <c r="Y476" s="1" t="s">
        <v>74</v>
      </c>
      <c r="Z476" s="1" t="s">
        <v>74</v>
      </c>
      <c r="AA476" s="1" t="s">
        <v>4966</v>
      </c>
      <c r="AB476" s="1" t="s">
        <v>4967</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4968</v>
      </c>
      <c r="AP476" s="1" t="s">
        <v>4969</v>
      </c>
      <c r="AQ476" s="1" t="s">
        <v>74</v>
      </c>
      <c r="AR476" s="1" t="s">
        <v>74</v>
      </c>
      <c r="AS476" s="1" t="s">
        <v>74</v>
      </c>
      <c r="AT476" s="1" t="s">
        <v>94</v>
      </c>
      <c r="AU476" s="1">
        <v>2022.0</v>
      </c>
      <c r="AV476" s="1">
        <v>148.0</v>
      </c>
      <c r="AW476" s="1" t="s">
        <v>74</v>
      </c>
      <c r="AX476" s="1" t="s">
        <v>74</v>
      </c>
      <c r="AY476" s="1" t="s">
        <v>74</v>
      </c>
      <c r="AZ476" s="1" t="s">
        <v>74</v>
      </c>
      <c r="BA476" s="1" t="s">
        <v>74</v>
      </c>
      <c r="BB476" s="1" t="s">
        <v>74</v>
      </c>
      <c r="BC476" s="1" t="s">
        <v>74</v>
      </c>
      <c r="BD476" s="1">
        <v>105978.0</v>
      </c>
      <c r="BE476" s="1" t="s">
        <v>4970</v>
      </c>
      <c r="BF476" s="2" t="str">
        <f>HYPERLINK("http://dx.doi.org/10.1016/j.cor.2022.105978","http://dx.doi.org/10.1016/j.cor.2022.105978")</f>
        <v>http://dx.doi.org/10.1016/j.cor.2022.105978</v>
      </c>
      <c r="BG476" s="1" t="s">
        <v>74</v>
      </c>
      <c r="BH476" s="1" t="s">
        <v>2291</v>
      </c>
      <c r="BI476" s="1" t="s">
        <v>74</v>
      </c>
      <c r="BJ476" s="1" t="s">
        <v>74</v>
      </c>
      <c r="BK476" s="1" t="s">
        <v>74</v>
      </c>
      <c r="BL476" s="1" t="s">
        <v>74</v>
      </c>
      <c r="BM476" s="1" t="s">
        <v>74</v>
      </c>
      <c r="BN476" s="1" t="s">
        <v>74</v>
      </c>
      <c r="BO476" s="1" t="s">
        <v>74</v>
      </c>
      <c r="BP476" s="1" t="s">
        <v>74</v>
      </c>
      <c r="BQ476" s="1" t="s">
        <v>74</v>
      </c>
      <c r="BR476" s="1" t="s">
        <v>74</v>
      </c>
      <c r="BS476" s="1" t="s">
        <v>4971</v>
      </c>
      <c r="BT476" s="1" t="str">
        <f>HYPERLINK("https%3A%2F%2Fwww.webofscience.com%2Fwos%2Fwoscc%2Ffull-record%2FWOS:000877371400001","View Full Record in Web of Science")</f>
        <v>View Full Record in Web of Science</v>
      </c>
    </row>
    <row r="477" ht="12.75" customHeight="1">
      <c r="A477" s="1" t="s">
        <v>72</v>
      </c>
      <c r="B477" s="1" t="s">
        <v>4972</v>
      </c>
      <c r="C477" s="1" t="s">
        <v>74</v>
      </c>
      <c r="D477" s="1" t="s">
        <v>74</v>
      </c>
      <c r="E477" s="1" t="s">
        <v>74</v>
      </c>
      <c r="F477" s="1" t="s">
        <v>4973</v>
      </c>
      <c r="G477" s="1" t="s">
        <v>74</v>
      </c>
      <c r="H477" s="1" t="s">
        <v>74</v>
      </c>
      <c r="I477" s="1" t="s">
        <v>4974</v>
      </c>
      <c r="J477" s="1" t="s">
        <v>1923</v>
      </c>
      <c r="K477" s="1" t="s">
        <v>74</v>
      </c>
      <c r="L477" s="1" t="s">
        <v>74</v>
      </c>
      <c r="M477" s="1" t="s">
        <v>74</v>
      </c>
      <c r="N477" s="1" t="s">
        <v>74</v>
      </c>
      <c r="O477" s="1" t="s">
        <v>74</v>
      </c>
      <c r="P477" s="1" t="s">
        <v>74</v>
      </c>
      <c r="Q477" s="1" t="s">
        <v>74</v>
      </c>
      <c r="R477" s="1" t="s">
        <v>74</v>
      </c>
      <c r="S477" s="1" t="s">
        <v>74</v>
      </c>
      <c r="T477" s="1" t="s">
        <v>74</v>
      </c>
      <c r="U477" s="1" t="s">
        <v>74</v>
      </c>
      <c r="V477" s="1" t="s">
        <v>4975</v>
      </c>
      <c r="W477" s="1" t="s">
        <v>74</v>
      </c>
      <c r="X477" s="1" t="s">
        <v>74</v>
      </c>
      <c r="Y477" s="1" t="s">
        <v>74</v>
      </c>
      <c r="Z477" s="1" t="s">
        <v>74</v>
      </c>
      <c r="AA477" s="1" t="s">
        <v>4976</v>
      </c>
      <c r="AB477" s="1" t="s">
        <v>4977</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1927</v>
      </c>
      <c r="AP477" s="1" t="s">
        <v>1928</v>
      </c>
      <c r="AQ477" s="1" t="s">
        <v>74</v>
      </c>
      <c r="AR477" s="1" t="s">
        <v>74</v>
      </c>
      <c r="AS477" s="1" t="s">
        <v>74</v>
      </c>
      <c r="AT477" s="1" t="s">
        <v>141</v>
      </c>
      <c r="AU477" s="1">
        <v>2018.0</v>
      </c>
      <c r="AV477" s="1">
        <v>28.0</v>
      </c>
      <c r="AW477" s="1">
        <v>9.0</v>
      </c>
      <c r="AX477" s="1" t="s">
        <v>74</v>
      </c>
      <c r="AY477" s="1" t="s">
        <v>74</v>
      </c>
      <c r="AZ477" s="1" t="s">
        <v>74</v>
      </c>
      <c r="BA477" s="1" t="s">
        <v>74</v>
      </c>
      <c r="BB477" s="1">
        <v>2052.0</v>
      </c>
      <c r="BC477" s="1">
        <v>2065.0</v>
      </c>
      <c r="BD477" s="1" t="s">
        <v>74</v>
      </c>
      <c r="BE477" s="1" t="s">
        <v>4978</v>
      </c>
      <c r="BF477" s="2" t="str">
        <f>HYPERLINK("http://dx.doi.org/10.1111/sms.13213","http://dx.doi.org/10.1111/sms.13213")</f>
        <v>http://dx.doi.org/10.1111/sms.13213</v>
      </c>
      <c r="BG477" s="1" t="s">
        <v>74</v>
      </c>
      <c r="BH477" s="1" t="s">
        <v>74</v>
      </c>
      <c r="BI477" s="1" t="s">
        <v>74</v>
      </c>
      <c r="BJ477" s="1" t="s">
        <v>74</v>
      </c>
      <c r="BK477" s="1" t="s">
        <v>74</v>
      </c>
      <c r="BL477" s="1" t="s">
        <v>74</v>
      </c>
      <c r="BM477" s="1" t="s">
        <v>74</v>
      </c>
      <c r="BN477" s="1">
        <v>2.9749663E7</v>
      </c>
      <c r="BO477" s="1" t="s">
        <v>74</v>
      </c>
      <c r="BP477" s="1" t="s">
        <v>74</v>
      </c>
      <c r="BQ477" s="1" t="s">
        <v>74</v>
      </c>
      <c r="BR477" s="1" t="s">
        <v>74</v>
      </c>
      <c r="BS477" s="1" t="s">
        <v>4979</v>
      </c>
      <c r="BT477" s="1" t="str">
        <f>HYPERLINK("https%3A%2F%2Fwww.webofscience.com%2Fwos%2Fwoscc%2Ffull-record%2FWOS:000441756500010","View Full Record in Web of Science")</f>
        <v>View Full Record in Web of Science</v>
      </c>
    </row>
    <row r="478" ht="12.75" customHeight="1">
      <c r="A478" s="1" t="s">
        <v>72</v>
      </c>
      <c r="B478" s="1" t="s">
        <v>4980</v>
      </c>
      <c r="C478" s="1" t="s">
        <v>74</v>
      </c>
      <c r="D478" s="1" t="s">
        <v>74</v>
      </c>
      <c r="E478" s="1" t="s">
        <v>74</v>
      </c>
      <c r="F478" s="1" t="s">
        <v>4981</v>
      </c>
      <c r="G478" s="1" t="s">
        <v>74</v>
      </c>
      <c r="H478" s="1" t="s">
        <v>74</v>
      </c>
      <c r="I478" s="1" t="s">
        <v>4982</v>
      </c>
      <c r="J478" s="1" t="s">
        <v>259</v>
      </c>
      <c r="K478" s="1" t="s">
        <v>74</v>
      </c>
      <c r="L478" s="1" t="s">
        <v>74</v>
      </c>
      <c r="M478" s="1" t="s">
        <v>74</v>
      </c>
      <c r="N478" s="1" t="s">
        <v>74</v>
      </c>
      <c r="O478" s="1" t="s">
        <v>74</v>
      </c>
      <c r="P478" s="1" t="s">
        <v>74</v>
      </c>
      <c r="Q478" s="1" t="s">
        <v>74</v>
      </c>
      <c r="R478" s="1" t="s">
        <v>74</v>
      </c>
      <c r="S478" s="1" t="s">
        <v>74</v>
      </c>
      <c r="T478" s="1" t="s">
        <v>74</v>
      </c>
      <c r="U478" s="1" t="s">
        <v>74</v>
      </c>
      <c r="V478" s="1" t="s">
        <v>4983</v>
      </c>
      <c r="W478" s="1" t="s">
        <v>74</v>
      </c>
      <c r="X478" s="1" t="s">
        <v>74</v>
      </c>
      <c r="Y478" s="1" t="s">
        <v>74</v>
      </c>
      <c r="Z478" s="1" t="s">
        <v>74</v>
      </c>
      <c r="AA478" s="1" t="s">
        <v>4984</v>
      </c>
      <c r="AB478" s="1" t="s">
        <v>4985</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74</v>
      </c>
      <c r="AP478" s="1" t="s">
        <v>263</v>
      </c>
      <c r="AQ478" s="1" t="s">
        <v>74</v>
      </c>
      <c r="AR478" s="1" t="s">
        <v>74</v>
      </c>
      <c r="AS478" s="1" t="s">
        <v>74</v>
      </c>
      <c r="AT478" s="1" t="s">
        <v>745</v>
      </c>
      <c r="AU478" s="1">
        <v>2023.0</v>
      </c>
      <c r="AV478" s="1">
        <v>15.0</v>
      </c>
      <c r="AW478" s="1">
        <v>13.0</v>
      </c>
      <c r="AX478" s="1" t="s">
        <v>74</v>
      </c>
      <c r="AY478" s="1" t="s">
        <v>74</v>
      </c>
      <c r="AZ478" s="1" t="s">
        <v>74</v>
      </c>
      <c r="BA478" s="1" t="s">
        <v>74</v>
      </c>
      <c r="BB478" s="1" t="s">
        <v>74</v>
      </c>
      <c r="BC478" s="1" t="s">
        <v>74</v>
      </c>
      <c r="BD478" s="1">
        <v>2915.0</v>
      </c>
      <c r="BE478" s="1" t="s">
        <v>4986</v>
      </c>
      <c r="BF478" s="2" t="str">
        <f>HYPERLINK("http://dx.doi.org/10.3390/nu15132915","http://dx.doi.org/10.3390/nu15132915")</f>
        <v>http://dx.doi.org/10.3390/nu15132915</v>
      </c>
      <c r="BG478" s="1" t="s">
        <v>74</v>
      </c>
      <c r="BH478" s="1" t="s">
        <v>74</v>
      </c>
      <c r="BI478" s="1" t="s">
        <v>74</v>
      </c>
      <c r="BJ478" s="1" t="s">
        <v>74</v>
      </c>
      <c r="BK478" s="1" t="s">
        <v>74</v>
      </c>
      <c r="BL478" s="1" t="s">
        <v>74</v>
      </c>
      <c r="BM478" s="1" t="s">
        <v>74</v>
      </c>
      <c r="BN478" s="1">
        <v>3.7447239E7</v>
      </c>
      <c r="BO478" s="1" t="s">
        <v>74</v>
      </c>
      <c r="BP478" s="1" t="s">
        <v>74</v>
      </c>
      <c r="BQ478" s="1" t="s">
        <v>74</v>
      </c>
      <c r="BR478" s="1" t="s">
        <v>74</v>
      </c>
      <c r="BS478" s="1" t="s">
        <v>4987</v>
      </c>
      <c r="BT478" s="1" t="str">
        <f>HYPERLINK("https%3A%2F%2Fwww.webofscience.com%2Fwos%2Fwoscc%2Ffull-record%2FWOS:001031153200001","View Full Record in Web of Science")</f>
        <v>View Full Record in Web of Science</v>
      </c>
    </row>
    <row r="479" ht="12.75" customHeight="1">
      <c r="A479" s="1" t="s">
        <v>72</v>
      </c>
      <c r="B479" s="1" t="s">
        <v>4988</v>
      </c>
      <c r="C479" s="1" t="s">
        <v>74</v>
      </c>
      <c r="D479" s="1" t="s">
        <v>74</v>
      </c>
      <c r="E479" s="1" t="s">
        <v>74</v>
      </c>
      <c r="F479" s="1" t="s">
        <v>4989</v>
      </c>
      <c r="G479" s="1" t="s">
        <v>74</v>
      </c>
      <c r="H479" s="1" t="s">
        <v>74</v>
      </c>
      <c r="I479" s="1" t="s">
        <v>4990</v>
      </c>
      <c r="J479" s="1" t="s">
        <v>1057</v>
      </c>
      <c r="K479" s="1" t="s">
        <v>74</v>
      </c>
      <c r="L479" s="1" t="s">
        <v>74</v>
      </c>
      <c r="M479" s="1" t="s">
        <v>74</v>
      </c>
      <c r="N479" s="1" t="s">
        <v>74</v>
      </c>
      <c r="O479" s="1" t="s">
        <v>74</v>
      </c>
      <c r="P479" s="1" t="s">
        <v>74</v>
      </c>
      <c r="Q479" s="1" t="s">
        <v>74</v>
      </c>
      <c r="R479" s="1" t="s">
        <v>74</v>
      </c>
      <c r="S479" s="1" t="s">
        <v>74</v>
      </c>
      <c r="T479" s="1" t="s">
        <v>74</v>
      </c>
      <c r="U479" s="1" t="s">
        <v>74</v>
      </c>
      <c r="V479" s="1" t="s">
        <v>4991</v>
      </c>
      <c r="W479" s="1" t="s">
        <v>74</v>
      </c>
      <c r="X479" s="1" t="s">
        <v>74</v>
      </c>
      <c r="Y479" s="1" t="s">
        <v>74</v>
      </c>
      <c r="Z479" s="1" t="s">
        <v>74</v>
      </c>
      <c r="AA479" s="1" t="s">
        <v>823</v>
      </c>
      <c r="AB479" s="1" t="s">
        <v>4992</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74</v>
      </c>
      <c r="AP479" s="1" t="s">
        <v>1061</v>
      </c>
      <c r="AQ479" s="1" t="s">
        <v>74</v>
      </c>
      <c r="AR479" s="1" t="s">
        <v>74</v>
      </c>
      <c r="AS479" s="1" t="s">
        <v>74</v>
      </c>
      <c r="AT479" s="1" t="s">
        <v>334</v>
      </c>
      <c r="AU479" s="1">
        <v>2022.0</v>
      </c>
      <c r="AV479" s="1">
        <v>19.0</v>
      </c>
      <c r="AW479" s="1">
        <v>20.0</v>
      </c>
      <c r="AX479" s="1" t="s">
        <v>74</v>
      </c>
      <c r="AY479" s="1" t="s">
        <v>74</v>
      </c>
      <c r="AZ479" s="1" t="s">
        <v>74</v>
      </c>
      <c r="BA479" s="1" t="s">
        <v>74</v>
      </c>
      <c r="BB479" s="1" t="s">
        <v>74</v>
      </c>
      <c r="BC479" s="1" t="s">
        <v>74</v>
      </c>
      <c r="BD479" s="1">
        <v>13335.0</v>
      </c>
      <c r="BE479" s="1" t="s">
        <v>4993</v>
      </c>
      <c r="BF479" s="2" t="str">
        <f>HYPERLINK("http://dx.doi.org/10.3390/ijerph192013335","http://dx.doi.org/10.3390/ijerph192013335")</f>
        <v>http://dx.doi.org/10.3390/ijerph192013335</v>
      </c>
      <c r="BG479" s="1" t="s">
        <v>74</v>
      </c>
      <c r="BH479" s="1" t="s">
        <v>74</v>
      </c>
      <c r="BI479" s="1" t="s">
        <v>74</v>
      </c>
      <c r="BJ479" s="1" t="s">
        <v>74</v>
      </c>
      <c r="BK479" s="1" t="s">
        <v>74</v>
      </c>
      <c r="BL479" s="1" t="s">
        <v>74</v>
      </c>
      <c r="BM479" s="1" t="s">
        <v>74</v>
      </c>
      <c r="BN479" s="1">
        <v>3.6293916E7</v>
      </c>
      <c r="BO479" s="1" t="s">
        <v>74</v>
      </c>
      <c r="BP479" s="1" t="s">
        <v>74</v>
      </c>
      <c r="BQ479" s="1" t="s">
        <v>74</v>
      </c>
      <c r="BR479" s="1" t="s">
        <v>74</v>
      </c>
      <c r="BS479" s="1" t="s">
        <v>4994</v>
      </c>
      <c r="BT479" s="1" t="str">
        <f>HYPERLINK("https%3A%2F%2Fwww.webofscience.com%2Fwos%2Fwoscc%2Ffull-record%2FWOS:000873119400001","View Full Record in Web of Science")</f>
        <v>View Full Record in Web of Science</v>
      </c>
    </row>
    <row r="480" ht="12.75" customHeight="1">
      <c r="A480" s="1" t="s">
        <v>462</v>
      </c>
      <c r="B480" s="1" t="s">
        <v>4995</v>
      </c>
      <c r="C480" s="1" t="s">
        <v>74</v>
      </c>
      <c r="D480" s="1" t="s">
        <v>4996</v>
      </c>
      <c r="E480" s="1" t="s">
        <v>74</v>
      </c>
      <c r="F480" s="1" t="s">
        <v>4997</v>
      </c>
      <c r="G480" s="1" t="s">
        <v>74</v>
      </c>
      <c r="H480" s="1" t="s">
        <v>74</v>
      </c>
      <c r="I480" s="1" t="s">
        <v>4998</v>
      </c>
      <c r="J480" s="1" t="s">
        <v>4999</v>
      </c>
      <c r="K480" s="1" t="s">
        <v>944</v>
      </c>
      <c r="L480" s="1" t="s">
        <v>74</v>
      </c>
      <c r="M480" s="1" t="s">
        <v>74</v>
      </c>
      <c r="N480" s="1" t="s">
        <v>74</v>
      </c>
      <c r="O480" s="1" t="s">
        <v>5000</v>
      </c>
      <c r="P480" s="1" t="s">
        <v>5001</v>
      </c>
      <c r="Q480" s="1" t="s">
        <v>470</v>
      </c>
      <c r="R480" s="1" t="s">
        <v>5002</v>
      </c>
      <c r="S480" s="1" t="s">
        <v>74</v>
      </c>
      <c r="T480" s="1" t="s">
        <v>74</v>
      </c>
      <c r="U480" s="1" t="s">
        <v>74</v>
      </c>
      <c r="V480" s="1" t="s">
        <v>5003</v>
      </c>
      <c r="W480" s="1" t="s">
        <v>74</v>
      </c>
      <c r="X480" s="1" t="s">
        <v>74</v>
      </c>
      <c r="Y480" s="1" t="s">
        <v>74</v>
      </c>
      <c r="Z480" s="1" t="s">
        <v>74</v>
      </c>
      <c r="AA480" s="1" t="s">
        <v>5004</v>
      </c>
      <c r="AB480" s="1" t="s">
        <v>5005</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953</v>
      </c>
      <c r="AP480" s="1" t="s">
        <v>954</v>
      </c>
      <c r="AQ480" s="1" t="s">
        <v>5006</v>
      </c>
      <c r="AR480" s="1" t="s">
        <v>74</v>
      </c>
      <c r="AS480" s="1" t="s">
        <v>74</v>
      </c>
      <c r="AT480" s="1" t="s">
        <v>74</v>
      </c>
      <c r="AU480" s="1">
        <v>2022.0</v>
      </c>
      <c r="AV480" s="1">
        <v>13489.0</v>
      </c>
      <c r="AW480" s="1" t="s">
        <v>74</v>
      </c>
      <c r="AX480" s="1" t="s">
        <v>74</v>
      </c>
      <c r="AY480" s="1" t="s">
        <v>74</v>
      </c>
      <c r="AZ480" s="1" t="s">
        <v>74</v>
      </c>
      <c r="BA480" s="1" t="s">
        <v>74</v>
      </c>
      <c r="BB480" s="1">
        <v>660.0</v>
      </c>
      <c r="BC480" s="1">
        <v>677.0</v>
      </c>
      <c r="BD480" s="1" t="s">
        <v>74</v>
      </c>
      <c r="BE480" s="1" t="s">
        <v>5007</v>
      </c>
      <c r="BF480" s="2" t="str">
        <f>HYPERLINK("http://dx.doi.org/10.1007/978-3-031-19433-7_38","http://dx.doi.org/10.1007/978-3-031-19433-7_38")</f>
        <v>http://dx.doi.org/10.1007/978-3-031-19433-7_38</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5008</v>
      </c>
      <c r="BT480" s="1" t="str">
        <f>HYPERLINK("https%3A%2F%2Fwww.webofscience.com%2Fwos%2Fwoscc%2Ffull-record%2FWOS:000886782800038","View Full Record in Web of Science")</f>
        <v>View Full Record in Web of Science</v>
      </c>
    </row>
    <row r="481" ht="12.75" customHeight="1">
      <c r="A481" s="1" t="s">
        <v>72</v>
      </c>
      <c r="B481" s="1" t="s">
        <v>5009</v>
      </c>
      <c r="C481" s="1" t="s">
        <v>74</v>
      </c>
      <c r="D481" s="1" t="s">
        <v>74</v>
      </c>
      <c r="E481" s="1" t="s">
        <v>74</v>
      </c>
      <c r="F481" s="1" t="s">
        <v>5010</v>
      </c>
      <c r="G481" s="1" t="s">
        <v>74</v>
      </c>
      <c r="H481" s="1" t="s">
        <v>5011</v>
      </c>
      <c r="I481" s="1" t="s">
        <v>5012</v>
      </c>
      <c r="J481" s="1" t="s">
        <v>5013</v>
      </c>
      <c r="K481" s="1" t="s">
        <v>74</v>
      </c>
      <c r="L481" s="1" t="s">
        <v>74</v>
      </c>
      <c r="M481" s="1" t="s">
        <v>74</v>
      </c>
      <c r="N481" s="1" t="s">
        <v>74</v>
      </c>
      <c r="O481" s="1" t="s">
        <v>74</v>
      </c>
      <c r="P481" s="1" t="s">
        <v>74</v>
      </c>
      <c r="Q481" s="1" t="s">
        <v>74</v>
      </c>
      <c r="R481" s="1" t="s">
        <v>74</v>
      </c>
      <c r="S481" s="1" t="s">
        <v>74</v>
      </c>
      <c r="T481" s="1" t="s">
        <v>74</v>
      </c>
      <c r="U481" s="1" t="s">
        <v>74</v>
      </c>
      <c r="V481" s="1" t="s">
        <v>5014</v>
      </c>
      <c r="W481" s="1" t="s">
        <v>74</v>
      </c>
      <c r="X481" s="1" t="s">
        <v>74</v>
      </c>
      <c r="Y481" s="1" t="s">
        <v>74</v>
      </c>
      <c r="Z481" s="1" t="s">
        <v>74</v>
      </c>
      <c r="AA481" s="1" t="s">
        <v>5015</v>
      </c>
      <c r="AB481" s="1" t="s">
        <v>5016</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74</v>
      </c>
      <c r="AP481" s="1" t="s">
        <v>5017</v>
      </c>
      <c r="AQ481" s="1" t="s">
        <v>74</v>
      </c>
      <c r="AR481" s="1" t="s">
        <v>74</v>
      </c>
      <c r="AS481" s="1" t="s">
        <v>74</v>
      </c>
      <c r="AT481" s="1" t="s">
        <v>2784</v>
      </c>
      <c r="AU481" s="1">
        <v>2010.0</v>
      </c>
      <c r="AV481" s="1">
        <v>11.0</v>
      </c>
      <c r="AW481" s="1" t="s">
        <v>74</v>
      </c>
      <c r="AX481" s="1" t="s">
        <v>74</v>
      </c>
      <c r="AY481" s="1" t="s">
        <v>74</v>
      </c>
      <c r="AZ481" s="1" t="s">
        <v>74</v>
      </c>
      <c r="BA481" s="1" t="s">
        <v>74</v>
      </c>
      <c r="BB481" s="1" t="s">
        <v>74</v>
      </c>
      <c r="BC481" s="1" t="s">
        <v>74</v>
      </c>
      <c r="BD481" s="1">
        <v>8.0</v>
      </c>
      <c r="BE481" s="1" t="s">
        <v>5018</v>
      </c>
      <c r="BF481" s="2" t="str">
        <f>HYPERLINK("http://dx.doi.org/10.1186/1465-9921-11-8","http://dx.doi.org/10.1186/1465-9921-11-8")</f>
        <v>http://dx.doi.org/10.1186/1465-9921-11-8</v>
      </c>
      <c r="BG481" s="1" t="s">
        <v>74</v>
      </c>
      <c r="BH481" s="1" t="s">
        <v>74</v>
      </c>
      <c r="BI481" s="1" t="s">
        <v>74</v>
      </c>
      <c r="BJ481" s="1" t="s">
        <v>74</v>
      </c>
      <c r="BK481" s="1" t="s">
        <v>74</v>
      </c>
      <c r="BL481" s="1" t="s">
        <v>74</v>
      </c>
      <c r="BM481" s="1" t="s">
        <v>74</v>
      </c>
      <c r="BN481" s="1">
        <v>2.0092649E7</v>
      </c>
      <c r="BO481" s="1" t="s">
        <v>74</v>
      </c>
      <c r="BP481" s="1" t="s">
        <v>74</v>
      </c>
      <c r="BQ481" s="1" t="s">
        <v>74</v>
      </c>
      <c r="BR481" s="1" t="s">
        <v>74</v>
      </c>
      <c r="BS481" s="1" t="s">
        <v>5019</v>
      </c>
      <c r="BT481" s="1" t="str">
        <f>HYPERLINK("https%3A%2F%2Fwww.webofscience.com%2Fwos%2Fwoscc%2Ffull-record%2FWOS:000275505400002","View Full Record in Web of Science")</f>
        <v>View Full Record in Web of Science</v>
      </c>
    </row>
    <row r="482" ht="12.75" customHeight="1">
      <c r="A482" s="1" t="s">
        <v>72</v>
      </c>
      <c r="B482" s="1" t="s">
        <v>5020</v>
      </c>
      <c r="C482" s="1" t="s">
        <v>74</v>
      </c>
      <c r="D482" s="1" t="s">
        <v>74</v>
      </c>
      <c r="E482" s="1" t="s">
        <v>74</v>
      </c>
      <c r="F482" s="1" t="s">
        <v>5021</v>
      </c>
      <c r="G482" s="1" t="s">
        <v>74</v>
      </c>
      <c r="H482" s="1" t="s">
        <v>74</v>
      </c>
      <c r="I482" s="1" t="s">
        <v>5022</v>
      </c>
      <c r="J482" s="1" t="s">
        <v>5023</v>
      </c>
      <c r="K482" s="1" t="s">
        <v>74</v>
      </c>
      <c r="L482" s="1" t="s">
        <v>74</v>
      </c>
      <c r="M482" s="1" t="s">
        <v>74</v>
      </c>
      <c r="N482" s="1" t="s">
        <v>74</v>
      </c>
      <c r="O482" s="1" t="s">
        <v>74</v>
      </c>
      <c r="P482" s="1" t="s">
        <v>74</v>
      </c>
      <c r="Q482" s="1" t="s">
        <v>74</v>
      </c>
      <c r="R482" s="1" t="s">
        <v>74</v>
      </c>
      <c r="S482" s="1" t="s">
        <v>74</v>
      </c>
      <c r="T482" s="1" t="s">
        <v>74</v>
      </c>
      <c r="U482" s="1" t="s">
        <v>74</v>
      </c>
      <c r="V482" s="1" t="s">
        <v>5024</v>
      </c>
      <c r="W482" s="1" t="s">
        <v>74</v>
      </c>
      <c r="X482" s="1" t="s">
        <v>74</v>
      </c>
      <c r="Y482" s="1" t="s">
        <v>74</v>
      </c>
      <c r="Z482" s="1" t="s">
        <v>74</v>
      </c>
      <c r="AA482" s="1" t="s">
        <v>5025</v>
      </c>
      <c r="AB482" s="1" t="s">
        <v>5026</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5027</v>
      </c>
      <c r="AP482" s="1" t="s">
        <v>5028</v>
      </c>
      <c r="AQ482" s="1" t="s">
        <v>74</v>
      </c>
      <c r="AR482" s="1" t="s">
        <v>74</v>
      </c>
      <c r="AS482" s="1" t="s">
        <v>74</v>
      </c>
      <c r="AT482" s="1" t="s">
        <v>5029</v>
      </c>
      <c r="AU482" s="1">
        <v>2025.0</v>
      </c>
      <c r="AV482" s="1" t="s">
        <v>74</v>
      </c>
      <c r="AW482" s="1" t="s">
        <v>74</v>
      </c>
      <c r="AX482" s="1" t="s">
        <v>74</v>
      </c>
      <c r="AY482" s="1" t="s">
        <v>74</v>
      </c>
      <c r="AZ482" s="1" t="s">
        <v>74</v>
      </c>
      <c r="BA482" s="1" t="s">
        <v>74</v>
      </c>
      <c r="BB482" s="1" t="s">
        <v>74</v>
      </c>
      <c r="BC482" s="1" t="s">
        <v>74</v>
      </c>
      <c r="BD482" s="1" t="s">
        <v>74</v>
      </c>
      <c r="BE482" s="1" t="s">
        <v>5030</v>
      </c>
      <c r="BF482" s="2" t="str">
        <f>HYPERLINK("http://dx.doi.org/10.1111/acel.70020","http://dx.doi.org/10.1111/acel.70020")</f>
        <v>http://dx.doi.org/10.1111/acel.70020</v>
      </c>
      <c r="BG482" s="1" t="s">
        <v>74</v>
      </c>
      <c r="BH482" s="1" t="s">
        <v>4881</v>
      </c>
      <c r="BI482" s="1" t="s">
        <v>74</v>
      </c>
      <c r="BJ482" s="1" t="s">
        <v>74</v>
      </c>
      <c r="BK482" s="1" t="s">
        <v>74</v>
      </c>
      <c r="BL482" s="1" t="s">
        <v>74</v>
      </c>
      <c r="BM482" s="1" t="s">
        <v>74</v>
      </c>
      <c r="BN482" s="1">
        <v>4.0146621E7</v>
      </c>
      <c r="BO482" s="1" t="s">
        <v>74</v>
      </c>
      <c r="BP482" s="1" t="s">
        <v>74</v>
      </c>
      <c r="BQ482" s="1" t="s">
        <v>74</v>
      </c>
      <c r="BR482" s="1" t="s">
        <v>74</v>
      </c>
      <c r="BS482" s="1" t="s">
        <v>5031</v>
      </c>
      <c r="BT482" s="1" t="str">
        <f>HYPERLINK("https%3A%2F%2Fwww.webofscience.com%2Fwos%2Fwoscc%2Ffull-record%2FWOS:001454625400001","View Full Record in Web of Science")</f>
        <v>View Full Record in Web of Science</v>
      </c>
    </row>
    <row r="483" ht="12.75" customHeight="1">
      <c r="A483" s="1" t="s">
        <v>72</v>
      </c>
      <c r="B483" s="1" t="s">
        <v>5032</v>
      </c>
      <c r="C483" s="1" t="s">
        <v>74</v>
      </c>
      <c r="D483" s="1" t="s">
        <v>74</v>
      </c>
      <c r="E483" s="1" t="s">
        <v>74</v>
      </c>
      <c r="F483" s="1" t="s">
        <v>5033</v>
      </c>
      <c r="G483" s="1" t="s">
        <v>74</v>
      </c>
      <c r="H483" s="1" t="s">
        <v>74</v>
      </c>
      <c r="I483" s="1" t="s">
        <v>5034</v>
      </c>
      <c r="J483" s="1" t="s">
        <v>5035</v>
      </c>
      <c r="K483" s="1" t="s">
        <v>74</v>
      </c>
      <c r="L483" s="1" t="s">
        <v>74</v>
      </c>
      <c r="M483" s="1" t="s">
        <v>74</v>
      </c>
      <c r="N483" s="1" t="s">
        <v>74</v>
      </c>
      <c r="O483" s="1" t="s">
        <v>74</v>
      </c>
      <c r="P483" s="1" t="s">
        <v>74</v>
      </c>
      <c r="Q483" s="1" t="s">
        <v>74</v>
      </c>
      <c r="R483" s="1" t="s">
        <v>74</v>
      </c>
      <c r="S483" s="1" t="s">
        <v>74</v>
      </c>
      <c r="T483" s="1" t="s">
        <v>74</v>
      </c>
      <c r="U483" s="1" t="s">
        <v>74</v>
      </c>
      <c r="V483" s="1" t="s">
        <v>5036</v>
      </c>
      <c r="W483" s="1" t="s">
        <v>74</v>
      </c>
      <c r="X483" s="1" t="s">
        <v>74</v>
      </c>
      <c r="Y483" s="1" t="s">
        <v>74</v>
      </c>
      <c r="Z483" s="1" t="s">
        <v>74</v>
      </c>
      <c r="AA483" s="1" t="s">
        <v>5037</v>
      </c>
      <c r="AB483" s="1" t="s">
        <v>74</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5038</v>
      </c>
      <c r="AP483" s="1" t="s">
        <v>5039</v>
      </c>
      <c r="AQ483" s="1" t="s">
        <v>74</v>
      </c>
      <c r="AR483" s="1" t="s">
        <v>74</v>
      </c>
      <c r="AS483" s="1" t="s">
        <v>74</v>
      </c>
      <c r="AT483" s="1" t="s">
        <v>346</v>
      </c>
      <c r="AU483" s="1">
        <v>2025.0</v>
      </c>
      <c r="AV483" s="1">
        <v>58.0</v>
      </c>
      <c r="AW483" s="1">
        <v>2.0</v>
      </c>
      <c r="AX483" s="1" t="s">
        <v>74</v>
      </c>
      <c r="AY483" s="1" t="s">
        <v>74</v>
      </c>
      <c r="AZ483" s="1" t="s">
        <v>74</v>
      </c>
      <c r="BA483" s="1" t="s">
        <v>74</v>
      </c>
      <c r="BB483" s="1">
        <v>177.0</v>
      </c>
      <c r="BC483" s="1">
        <v>187.0</v>
      </c>
      <c r="BD483" s="1" t="s">
        <v>74</v>
      </c>
      <c r="BE483" s="1" t="s">
        <v>5040</v>
      </c>
      <c r="BF483" s="2" t="str">
        <f>HYPERLINK("http://dx.doi.org/10.3961/jpmph.24.461","http://dx.doi.org/10.3961/jpmph.24.461")</f>
        <v>http://dx.doi.org/10.3961/jpmph.24.461</v>
      </c>
      <c r="BG483" s="1" t="s">
        <v>74</v>
      </c>
      <c r="BH483" s="1" t="s">
        <v>74</v>
      </c>
      <c r="BI483" s="1" t="s">
        <v>74</v>
      </c>
      <c r="BJ483" s="1" t="s">
        <v>74</v>
      </c>
      <c r="BK483" s="1" t="s">
        <v>74</v>
      </c>
      <c r="BL483" s="1" t="s">
        <v>74</v>
      </c>
      <c r="BM483" s="1" t="s">
        <v>74</v>
      </c>
      <c r="BN483" s="1">
        <v>3.9901758E7</v>
      </c>
      <c r="BO483" s="1" t="s">
        <v>74</v>
      </c>
      <c r="BP483" s="1" t="s">
        <v>74</v>
      </c>
      <c r="BQ483" s="1" t="s">
        <v>74</v>
      </c>
      <c r="BR483" s="1" t="s">
        <v>74</v>
      </c>
      <c r="BS483" s="1" t="s">
        <v>5041</v>
      </c>
      <c r="BT483" s="1" t="str">
        <f>HYPERLINK("https%3A%2F%2Fwww.webofscience.com%2Fwos%2Fwoscc%2Ffull-record%2FWOS:001459809300007","View Full Record in Web of Science")</f>
        <v>View Full Record in Web of Science</v>
      </c>
    </row>
    <row r="484" ht="12.75" customHeight="1">
      <c r="A484" s="1" t="s">
        <v>72</v>
      </c>
      <c r="B484" s="1" t="s">
        <v>5042</v>
      </c>
      <c r="C484" s="1" t="s">
        <v>74</v>
      </c>
      <c r="D484" s="1" t="s">
        <v>74</v>
      </c>
      <c r="E484" s="1" t="s">
        <v>74</v>
      </c>
      <c r="F484" s="1" t="s">
        <v>5043</v>
      </c>
      <c r="G484" s="1" t="s">
        <v>74</v>
      </c>
      <c r="H484" s="1" t="s">
        <v>74</v>
      </c>
      <c r="I484" s="1" t="s">
        <v>5044</v>
      </c>
      <c r="J484" s="1" t="s">
        <v>707</v>
      </c>
      <c r="K484" s="1" t="s">
        <v>74</v>
      </c>
      <c r="L484" s="1" t="s">
        <v>74</v>
      </c>
      <c r="M484" s="1" t="s">
        <v>74</v>
      </c>
      <c r="N484" s="1" t="s">
        <v>74</v>
      </c>
      <c r="O484" s="1" t="s">
        <v>74</v>
      </c>
      <c r="P484" s="1" t="s">
        <v>74</v>
      </c>
      <c r="Q484" s="1" t="s">
        <v>74</v>
      </c>
      <c r="R484" s="1" t="s">
        <v>74</v>
      </c>
      <c r="S484" s="1" t="s">
        <v>74</v>
      </c>
      <c r="T484" s="1" t="s">
        <v>74</v>
      </c>
      <c r="U484" s="1" t="s">
        <v>74</v>
      </c>
      <c r="V484" s="1" t="s">
        <v>5045</v>
      </c>
      <c r="W484" s="1" t="s">
        <v>74</v>
      </c>
      <c r="X484" s="1" t="s">
        <v>74</v>
      </c>
      <c r="Y484" s="1" t="s">
        <v>74</v>
      </c>
      <c r="Z484" s="1" t="s">
        <v>74</v>
      </c>
      <c r="AA484" s="1" t="s">
        <v>5046</v>
      </c>
      <c r="AB484" s="1" t="s">
        <v>5047</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74</v>
      </c>
      <c r="AP484" s="1" t="s">
        <v>711</v>
      </c>
      <c r="AQ484" s="1" t="s">
        <v>74</v>
      </c>
      <c r="AR484" s="1" t="s">
        <v>74</v>
      </c>
      <c r="AS484" s="1" t="s">
        <v>74</v>
      </c>
      <c r="AT484" s="1" t="s">
        <v>106</v>
      </c>
      <c r="AU484" s="1">
        <v>2021.0</v>
      </c>
      <c r="AV484" s="1">
        <v>9.0</v>
      </c>
      <c r="AW484" s="1">
        <v>11.0</v>
      </c>
      <c r="AX484" s="1" t="s">
        <v>74</v>
      </c>
      <c r="AY484" s="1" t="s">
        <v>74</v>
      </c>
      <c r="AZ484" s="1" t="s">
        <v>74</v>
      </c>
      <c r="BA484" s="1" t="s">
        <v>74</v>
      </c>
      <c r="BB484" s="1" t="s">
        <v>74</v>
      </c>
      <c r="BC484" s="1" t="s">
        <v>74</v>
      </c>
      <c r="BD484" s="1">
        <v>2370.0</v>
      </c>
      <c r="BE484" s="1" t="s">
        <v>5048</v>
      </c>
      <c r="BF484" s="2" t="str">
        <f>HYPERLINK("http://dx.doi.org/10.3390/microorganisms9112370","http://dx.doi.org/10.3390/microorganisms9112370")</f>
        <v>http://dx.doi.org/10.3390/microorganisms9112370</v>
      </c>
      <c r="BG484" s="1" t="s">
        <v>74</v>
      </c>
      <c r="BH484" s="1" t="s">
        <v>74</v>
      </c>
      <c r="BI484" s="1" t="s">
        <v>74</v>
      </c>
      <c r="BJ484" s="1" t="s">
        <v>74</v>
      </c>
      <c r="BK484" s="1" t="s">
        <v>74</v>
      </c>
      <c r="BL484" s="1" t="s">
        <v>74</v>
      </c>
      <c r="BM484" s="1" t="s">
        <v>74</v>
      </c>
      <c r="BN484" s="1">
        <v>3.4835497E7</v>
      </c>
      <c r="BO484" s="1" t="s">
        <v>74</v>
      </c>
      <c r="BP484" s="1" t="s">
        <v>74</v>
      </c>
      <c r="BQ484" s="1" t="s">
        <v>74</v>
      </c>
      <c r="BR484" s="1" t="s">
        <v>74</v>
      </c>
      <c r="BS484" s="1" t="s">
        <v>5049</v>
      </c>
      <c r="BT484" s="1" t="str">
        <f>HYPERLINK("https%3A%2F%2Fwww.webofscience.com%2Fwos%2Fwoscc%2Ffull-record%2FWOS:000724504800001","View Full Record in Web of Science")</f>
        <v>View Full Record in Web of Science</v>
      </c>
    </row>
    <row r="485" ht="12.75" customHeight="1">
      <c r="A485" s="1" t="s">
        <v>72</v>
      </c>
      <c r="B485" s="1" t="s">
        <v>5050</v>
      </c>
      <c r="C485" s="1" t="s">
        <v>74</v>
      </c>
      <c r="D485" s="1" t="s">
        <v>74</v>
      </c>
      <c r="E485" s="1" t="s">
        <v>74</v>
      </c>
      <c r="F485" s="1" t="s">
        <v>5051</v>
      </c>
      <c r="G485" s="1" t="s">
        <v>74</v>
      </c>
      <c r="H485" s="1" t="s">
        <v>74</v>
      </c>
      <c r="I485" s="1" t="s">
        <v>5052</v>
      </c>
      <c r="J485" s="1" t="s">
        <v>5053</v>
      </c>
      <c r="K485" s="1" t="s">
        <v>74</v>
      </c>
      <c r="L485" s="1" t="s">
        <v>74</v>
      </c>
      <c r="M485" s="1" t="s">
        <v>74</v>
      </c>
      <c r="N485" s="1" t="s">
        <v>74</v>
      </c>
      <c r="O485" s="1" t="s">
        <v>74</v>
      </c>
      <c r="P485" s="1" t="s">
        <v>74</v>
      </c>
      <c r="Q485" s="1" t="s">
        <v>74</v>
      </c>
      <c r="R485" s="1" t="s">
        <v>74</v>
      </c>
      <c r="S485" s="1" t="s">
        <v>74</v>
      </c>
      <c r="T485" s="1" t="s">
        <v>74</v>
      </c>
      <c r="U485" s="1" t="s">
        <v>74</v>
      </c>
      <c r="V485" s="1" t="s">
        <v>5054</v>
      </c>
      <c r="W485" s="1" t="s">
        <v>74</v>
      </c>
      <c r="X485" s="1" t="s">
        <v>74</v>
      </c>
      <c r="Y485" s="1" t="s">
        <v>74</v>
      </c>
      <c r="Z485" s="1" t="s">
        <v>74</v>
      </c>
      <c r="AA485" s="1" t="s">
        <v>5055</v>
      </c>
      <c r="AB485" s="1" t="s">
        <v>5056</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5057</v>
      </c>
      <c r="AP485" s="1" t="s">
        <v>5058</v>
      </c>
      <c r="AQ485" s="1" t="s">
        <v>74</v>
      </c>
      <c r="AR485" s="1" t="s">
        <v>74</v>
      </c>
      <c r="AS485" s="1" t="s">
        <v>74</v>
      </c>
      <c r="AT485" s="1" t="s">
        <v>264</v>
      </c>
      <c r="AU485" s="1">
        <v>2020.0</v>
      </c>
      <c r="AV485" s="1">
        <v>150.0</v>
      </c>
      <c r="AW485" s="1" t="s">
        <v>74</v>
      </c>
      <c r="AX485" s="1" t="s">
        <v>74</v>
      </c>
      <c r="AY485" s="1" t="s">
        <v>74</v>
      </c>
      <c r="AZ485" s="1" t="s">
        <v>74</v>
      </c>
      <c r="BA485" s="1" t="s">
        <v>74</v>
      </c>
      <c r="BB485" s="1" t="s">
        <v>74</v>
      </c>
      <c r="BC485" s="1" t="s">
        <v>74</v>
      </c>
      <c r="BD485" s="1">
        <v>110603.0</v>
      </c>
      <c r="BE485" s="1" t="s">
        <v>5059</v>
      </c>
      <c r="BF485" s="2" t="str">
        <f>HYPERLINK("http://dx.doi.org/10.1016/j.marpolbul.2019.110603","http://dx.doi.org/10.1016/j.marpolbul.2019.110603")</f>
        <v>http://dx.doi.org/10.1016/j.marpolbul.2019.110603</v>
      </c>
      <c r="BG485" s="1" t="s">
        <v>74</v>
      </c>
      <c r="BH485" s="1" t="s">
        <v>74</v>
      </c>
      <c r="BI485" s="1" t="s">
        <v>74</v>
      </c>
      <c r="BJ485" s="1" t="s">
        <v>74</v>
      </c>
      <c r="BK485" s="1" t="s">
        <v>74</v>
      </c>
      <c r="BL485" s="1" t="s">
        <v>74</v>
      </c>
      <c r="BM485" s="1" t="s">
        <v>74</v>
      </c>
      <c r="BN485" s="1">
        <v>3.1784267E7</v>
      </c>
      <c r="BO485" s="1" t="s">
        <v>74</v>
      </c>
      <c r="BP485" s="1" t="s">
        <v>74</v>
      </c>
      <c r="BQ485" s="1" t="s">
        <v>74</v>
      </c>
      <c r="BR485" s="1" t="s">
        <v>74</v>
      </c>
      <c r="BS485" s="1" t="s">
        <v>5060</v>
      </c>
      <c r="BT485" s="1" t="str">
        <f>HYPERLINK("https%3A%2F%2Fwww.webofscience.com%2Fwos%2Fwoscc%2Ffull-record%2FWOS:000509611200048","View Full Record in Web of Science")</f>
        <v>View Full Record in Web of Science</v>
      </c>
    </row>
    <row r="486" ht="12.75" customHeight="1">
      <c r="A486" s="1" t="s">
        <v>72</v>
      </c>
      <c r="B486" s="1" t="s">
        <v>5061</v>
      </c>
      <c r="C486" s="1" t="s">
        <v>74</v>
      </c>
      <c r="D486" s="1" t="s">
        <v>74</v>
      </c>
      <c r="E486" s="1" t="s">
        <v>74</v>
      </c>
      <c r="F486" s="1" t="s">
        <v>5062</v>
      </c>
      <c r="G486" s="1" t="s">
        <v>74</v>
      </c>
      <c r="H486" s="1" t="s">
        <v>74</v>
      </c>
      <c r="I486" s="1" t="s">
        <v>5063</v>
      </c>
      <c r="J486" s="1" t="s">
        <v>480</v>
      </c>
      <c r="K486" s="1" t="s">
        <v>74</v>
      </c>
      <c r="L486" s="1" t="s">
        <v>74</v>
      </c>
      <c r="M486" s="1" t="s">
        <v>74</v>
      </c>
      <c r="N486" s="1" t="s">
        <v>74</v>
      </c>
      <c r="O486" s="1" t="s">
        <v>74</v>
      </c>
      <c r="P486" s="1" t="s">
        <v>74</v>
      </c>
      <c r="Q486" s="1" t="s">
        <v>74</v>
      </c>
      <c r="R486" s="1" t="s">
        <v>74</v>
      </c>
      <c r="S486" s="1" t="s">
        <v>74</v>
      </c>
      <c r="T486" s="1" t="s">
        <v>74</v>
      </c>
      <c r="U486" s="1" t="s">
        <v>74</v>
      </c>
      <c r="V486" s="1" t="s">
        <v>5064</v>
      </c>
      <c r="W486" s="1" t="s">
        <v>74</v>
      </c>
      <c r="X486" s="1" t="s">
        <v>74</v>
      </c>
      <c r="Y486" s="1" t="s">
        <v>74</v>
      </c>
      <c r="Z486" s="1" t="s">
        <v>74</v>
      </c>
      <c r="AA486" s="1" t="s">
        <v>5065</v>
      </c>
      <c r="AB486" s="1" t="s">
        <v>1778</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484</v>
      </c>
      <c r="AP486" s="1" t="s">
        <v>74</v>
      </c>
      <c r="AQ486" s="1" t="s">
        <v>74</v>
      </c>
      <c r="AR486" s="1" t="s">
        <v>74</v>
      </c>
      <c r="AS486" s="1" t="s">
        <v>74</v>
      </c>
      <c r="AT486" s="1" t="s">
        <v>5066</v>
      </c>
      <c r="AU486" s="1">
        <v>2024.0</v>
      </c>
      <c r="AV486" s="1">
        <v>14.0</v>
      </c>
      <c r="AW486" s="1">
        <v>1.0</v>
      </c>
      <c r="AX486" s="1" t="s">
        <v>74</v>
      </c>
      <c r="AY486" s="1" t="s">
        <v>74</v>
      </c>
      <c r="AZ486" s="1" t="s">
        <v>74</v>
      </c>
      <c r="BA486" s="1" t="s">
        <v>74</v>
      </c>
      <c r="BB486" s="1" t="s">
        <v>74</v>
      </c>
      <c r="BC486" s="1" t="s">
        <v>74</v>
      </c>
      <c r="BD486" s="1">
        <v>30355.0</v>
      </c>
      <c r="BE486" s="1" t="s">
        <v>5067</v>
      </c>
      <c r="BF486" s="2" t="str">
        <f>HYPERLINK("http://dx.doi.org/10.1038/s41598-024-80662-1","http://dx.doi.org/10.1038/s41598-024-80662-1")</f>
        <v>http://dx.doi.org/10.1038/s41598-024-80662-1</v>
      </c>
      <c r="BG486" s="1" t="s">
        <v>74</v>
      </c>
      <c r="BH486" s="1" t="s">
        <v>74</v>
      </c>
      <c r="BI486" s="1" t="s">
        <v>74</v>
      </c>
      <c r="BJ486" s="1" t="s">
        <v>74</v>
      </c>
      <c r="BK486" s="1" t="s">
        <v>74</v>
      </c>
      <c r="BL486" s="1" t="s">
        <v>74</v>
      </c>
      <c r="BM486" s="1" t="s">
        <v>74</v>
      </c>
      <c r="BN486" s="1">
        <v>3.963884E7</v>
      </c>
      <c r="BO486" s="1" t="s">
        <v>74</v>
      </c>
      <c r="BP486" s="1" t="s">
        <v>74</v>
      </c>
      <c r="BQ486" s="1" t="s">
        <v>74</v>
      </c>
      <c r="BR486" s="1" t="s">
        <v>74</v>
      </c>
      <c r="BS486" s="1" t="s">
        <v>5068</v>
      </c>
      <c r="BT486" s="1" t="str">
        <f>HYPERLINK("https%3A%2F%2Fwww.webofscience.com%2Fwos%2Fwoscc%2Ffull-record%2FWOS:001373766700013","View Full Record in Web of Science")</f>
        <v>View Full Record in Web of Science</v>
      </c>
    </row>
    <row r="487" ht="12.75" customHeight="1">
      <c r="A487" s="1" t="s">
        <v>72</v>
      </c>
      <c r="B487" s="1" t="s">
        <v>5069</v>
      </c>
      <c r="C487" s="1" t="s">
        <v>74</v>
      </c>
      <c r="D487" s="1" t="s">
        <v>74</v>
      </c>
      <c r="E487" s="1" t="s">
        <v>74</v>
      </c>
      <c r="F487" s="1" t="s">
        <v>5070</v>
      </c>
      <c r="G487" s="1" t="s">
        <v>74</v>
      </c>
      <c r="H487" s="1" t="s">
        <v>74</v>
      </c>
      <c r="I487" s="1" t="s">
        <v>5071</v>
      </c>
      <c r="J487" s="1" t="s">
        <v>5072</v>
      </c>
      <c r="K487" s="1" t="s">
        <v>74</v>
      </c>
      <c r="L487" s="1" t="s">
        <v>74</v>
      </c>
      <c r="M487" s="1" t="s">
        <v>74</v>
      </c>
      <c r="N487" s="1" t="s">
        <v>74</v>
      </c>
      <c r="O487" s="1" t="s">
        <v>74</v>
      </c>
      <c r="P487" s="1" t="s">
        <v>74</v>
      </c>
      <c r="Q487" s="1" t="s">
        <v>74</v>
      </c>
      <c r="R487" s="1" t="s">
        <v>74</v>
      </c>
      <c r="S487" s="1" t="s">
        <v>74</v>
      </c>
      <c r="T487" s="1" t="s">
        <v>74</v>
      </c>
      <c r="U487" s="1" t="s">
        <v>74</v>
      </c>
      <c r="V487" s="1" t="s">
        <v>5073</v>
      </c>
      <c r="W487" s="1" t="s">
        <v>74</v>
      </c>
      <c r="X487" s="1" t="s">
        <v>74</v>
      </c>
      <c r="Y487" s="1" t="s">
        <v>74</v>
      </c>
      <c r="Z487" s="1" t="s">
        <v>74</v>
      </c>
      <c r="AA487" s="1" t="s">
        <v>2889</v>
      </c>
      <c r="AB487" s="1" t="s">
        <v>5074</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5075</v>
      </c>
      <c r="AP487" s="1" t="s">
        <v>5076</v>
      </c>
      <c r="AQ487" s="1" t="s">
        <v>74</v>
      </c>
      <c r="AR487" s="1" t="s">
        <v>74</v>
      </c>
      <c r="AS487" s="1" t="s">
        <v>74</v>
      </c>
      <c r="AT487" s="1" t="s">
        <v>5077</v>
      </c>
      <c r="AU487" s="1">
        <v>2024.0</v>
      </c>
      <c r="AV487" s="1" t="s">
        <v>74</v>
      </c>
      <c r="AW487" s="1" t="s">
        <v>74</v>
      </c>
      <c r="AX487" s="1" t="s">
        <v>74</v>
      </c>
      <c r="AY487" s="1" t="s">
        <v>74</v>
      </c>
      <c r="AZ487" s="1" t="s">
        <v>74</v>
      </c>
      <c r="BA487" s="1" t="s">
        <v>74</v>
      </c>
      <c r="BB487" s="1" t="s">
        <v>74</v>
      </c>
      <c r="BC487" s="1" t="s">
        <v>74</v>
      </c>
      <c r="BD487" s="1" t="s">
        <v>74</v>
      </c>
      <c r="BE487" s="1" t="s">
        <v>5078</v>
      </c>
      <c r="BF487" s="2" t="str">
        <f>HYPERLINK("http://dx.doi.org/10.1017/S1366728924000312","http://dx.doi.org/10.1017/S1366728924000312")</f>
        <v>http://dx.doi.org/10.1017/S1366728924000312</v>
      </c>
      <c r="BG487" s="1" t="s">
        <v>74</v>
      </c>
      <c r="BH487" s="1" t="s">
        <v>371</v>
      </c>
      <c r="BI487" s="1" t="s">
        <v>74</v>
      </c>
      <c r="BJ487" s="1" t="s">
        <v>74</v>
      </c>
      <c r="BK487" s="1" t="s">
        <v>74</v>
      </c>
      <c r="BL487" s="1" t="s">
        <v>74</v>
      </c>
      <c r="BM487" s="1" t="s">
        <v>74</v>
      </c>
      <c r="BN487" s="1">
        <v>3.9561112E7</v>
      </c>
      <c r="BO487" s="1" t="s">
        <v>74</v>
      </c>
      <c r="BP487" s="1" t="s">
        <v>74</v>
      </c>
      <c r="BQ487" s="1" t="s">
        <v>74</v>
      </c>
      <c r="BR487" s="1" t="s">
        <v>74</v>
      </c>
      <c r="BS487" s="1" t="s">
        <v>5079</v>
      </c>
      <c r="BT487" s="1" t="str">
        <f>HYPERLINK("https%3A%2F%2Fwww.webofscience.com%2Fwos%2Fwoscc%2Ffull-record%2FWOS:001208112600001","View Full Record in Web of Science")</f>
        <v>View Full Record in Web of Science</v>
      </c>
    </row>
    <row r="488" ht="12.75" customHeight="1">
      <c r="A488" s="1" t="s">
        <v>72</v>
      </c>
      <c r="B488" s="1" t="s">
        <v>5080</v>
      </c>
      <c r="C488" s="1" t="s">
        <v>74</v>
      </c>
      <c r="D488" s="1" t="s">
        <v>74</v>
      </c>
      <c r="E488" s="1" t="s">
        <v>74</v>
      </c>
      <c r="F488" s="1" t="s">
        <v>5081</v>
      </c>
      <c r="G488" s="1" t="s">
        <v>74</v>
      </c>
      <c r="H488" s="1" t="s">
        <v>74</v>
      </c>
      <c r="I488" s="1" t="s">
        <v>5082</v>
      </c>
      <c r="J488" s="1" t="s">
        <v>5083</v>
      </c>
      <c r="K488" s="1" t="s">
        <v>74</v>
      </c>
      <c r="L488" s="1" t="s">
        <v>74</v>
      </c>
      <c r="M488" s="1" t="s">
        <v>74</v>
      </c>
      <c r="N488" s="1" t="s">
        <v>74</v>
      </c>
      <c r="O488" s="1" t="s">
        <v>74</v>
      </c>
      <c r="P488" s="1" t="s">
        <v>74</v>
      </c>
      <c r="Q488" s="1" t="s">
        <v>74</v>
      </c>
      <c r="R488" s="1" t="s">
        <v>74</v>
      </c>
      <c r="S488" s="1" t="s">
        <v>74</v>
      </c>
      <c r="T488" s="1" t="s">
        <v>74</v>
      </c>
      <c r="U488" s="1" t="s">
        <v>74</v>
      </c>
      <c r="V488" s="1" t="s">
        <v>5084</v>
      </c>
      <c r="W488" s="1" t="s">
        <v>74</v>
      </c>
      <c r="X488" s="1" t="s">
        <v>74</v>
      </c>
      <c r="Y488" s="1" t="s">
        <v>74</v>
      </c>
      <c r="Z488" s="1" t="s">
        <v>74</v>
      </c>
      <c r="AA488" s="1" t="s">
        <v>5085</v>
      </c>
      <c r="AB488" s="1" t="s">
        <v>5086</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5087</v>
      </c>
      <c r="AP488" s="1" t="s">
        <v>74</v>
      </c>
      <c r="AQ488" s="1" t="s">
        <v>74</v>
      </c>
      <c r="AR488" s="1" t="s">
        <v>74</v>
      </c>
      <c r="AS488" s="1" t="s">
        <v>74</v>
      </c>
      <c r="AT488" s="1" t="s">
        <v>2167</v>
      </c>
      <c r="AU488" s="1">
        <v>2024.0</v>
      </c>
      <c r="AV488" s="1">
        <v>9.0</v>
      </c>
      <c r="AW488" s="1">
        <v>1.0</v>
      </c>
      <c r="AX488" s="1" t="s">
        <v>74</v>
      </c>
      <c r="AY488" s="1" t="s">
        <v>74</v>
      </c>
      <c r="AZ488" s="1" t="s">
        <v>74</v>
      </c>
      <c r="BA488" s="1" t="s">
        <v>74</v>
      </c>
      <c r="BB488" s="1" t="s">
        <v>74</v>
      </c>
      <c r="BC488" s="1" t="s">
        <v>74</v>
      </c>
      <c r="BD488" s="1" t="s">
        <v>74</v>
      </c>
      <c r="BE488" s="1" t="s">
        <v>5088</v>
      </c>
      <c r="BF488" s="2" t="str">
        <f>HYPERLINK("http://dx.doi.org/10.1128/msystems.01058-23","http://dx.doi.org/10.1128/msystems.01058-23")</f>
        <v>http://dx.doi.org/10.1128/msystems.01058-23</v>
      </c>
      <c r="BG488" s="1" t="s">
        <v>74</v>
      </c>
      <c r="BH488" s="1" t="s">
        <v>1176</v>
      </c>
      <c r="BI488" s="1" t="s">
        <v>74</v>
      </c>
      <c r="BJ488" s="1" t="s">
        <v>74</v>
      </c>
      <c r="BK488" s="1" t="s">
        <v>74</v>
      </c>
      <c r="BL488" s="1" t="s">
        <v>74</v>
      </c>
      <c r="BM488" s="1" t="s">
        <v>74</v>
      </c>
      <c r="BN488" s="1">
        <v>3.8085042E7</v>
      </c>
      <c r="BO488" s="1" t="s">
        <v>74</v>
      </c>
      <c r="BP488" s="1" t="s">
        <v>74</v>
      </c>
      <c r="BQ488" s="1" t="s">
        <v>74</v>
      </c>
      <c r="BR488" s="1" t="s">
        <v>74</v>
      </c>
      <c r="BS488" s="1" t="s">
        <v>5089</v>
      </c>
      <c r="BT488" s="1" t="str">
        <f>HYPERLINK("https%3A%2F%2Fwww.webofscience.com%2Fwos%2Fwoscc%2Ffull-record%2FWOS:001123961400001","View Full Record in Web of Science")</f>
        <v>View Full Record in Web of Science</v>
      </c>
    </row>
    <row r="489" ht="12.75" customHeight="1">
      <c r="A489" s="1" t="s">
        <v>72</v>
      </c>
      <c r="B489" s="1" t="s">
        <v>5090</v>
      </c>
      <c r="C489" s="1" t="s">
        <v>74</v>
      </c>
      <c r="D489" s="1" t="s">
        <v>74</v>
      </c>
      <c r="E489" s="1" t="s">
        <v>74</v>
      </c>
      <c r="F489" s="1" t="s">
        <v>5091</v>
      </c>
      <c r="G489" s="1" t="s">
        <v>74</v>
      </c>
      <c r="H489" s="1" t="s">
        <v>74</v>
      </c>
      <c r="I489" s="1" t="s">
        <v>5092</v>
      </c>
      <c r="J489" s="1" t="s">
        <v>5093</v>
      </c>
      <c r="K489" s="1" t="s">
        <v>74</v>
      </c>
      <c r="L489" s="1" t="s">
        <v>74</v>
      </c>
      <c r="M489" s="1" t="s">
        <v>74</v>
      </c>
      <c r="N489" s="1" t="s">
        <v>74</v>
      </c>
      <c r="O489" s="1" t="s">
        <v>74</v>
      </c>
      <c r="P489" s="1" t="s">
        <v>74</v>
      </c>
      <c r="Q489" s="1" t="s">
        <v>74</v>
      </c>
      <c r="R489" s="1" t="s">
        <v>74</v>
      </c>
      <c r="S489" s="1" t="s">
        <v>74</v>
      </c>
      <c r="T489" s="1" t="s">
        <v>74</v>
      </c>
      <c r="U489" s="1" t="s">
        <v>74</v>
      </c>
      <c r="V489" s="1" t="s">
        <v>5094</v>
      </c>
      <c r="W489" s="1" t="s">
        <v>74</v>
      </c>
      <c r="X489" s="1" t="s">
        <v>74</v>
      </c>
      <c r="Y489" s="1" t="s">
        <v>74</v>
      </c>
      <c r="Z489" s="1" t="s">
        <v>74</v>
      </c>
      <c r="AA489" s="1" t="s">
        <v>5095</v>
      </c>
      <c r="AB489" s="1" t="s">
        <v>5096</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5097</v>
      </c>
      <c r="AP489" s="1" t="s">
        <v>74</v>
      </c>
      <c r="AQ489" s="1" t="s">
        <v>74</v>
      </c>
      <c r="AR489" s="1" t="s">
        <v>74</v>
      </c>
      <c r="AS489" s="1" t="s">
        <v>74</v>
      </c>
      <c r="AT489" s="1" t="s">
        <v>334</v>
      </c>
      <c r="AU489" s="1">
        <v>2023.0</v>
      </c>
      <c r="AV489" s="1">
        <v>33.0</v>
      </c>
      <c r="AW489" s="1" t="s">
        <v>74</v>
      </c>
      <c r="AX489" s="1" t="s">
        <v>74</v>
      </c>
      <c r="AY489" s="1" t="s">
        <v>74</v>
      </c>
      <c r="AZ489" s="1" t="s">
        <v>74</v>
      </c>
      <c r="BA489" s="1" t="s">
        <v>74</v>
      </c>
      <c r="BB489" s="1" t="s">
        <v>74</v>
      </c>
      <c r="BC489" s="1" t="s">
        <v>74</v>
      </c>
      <c r="BD489" s="1">
        <v>101750.0</v>
      </c>
      <c r="BE489" s="1" t="s">
        <v>5098</v>
      </c>
      <c r="BF489" s="2" t="str">
        <f>HYPERLINK("http://dx.doi.org/10.1016/j.mtchem.2023.101750","http://dx.doi.org/10.1016/j.mtchem.2023.101750")</f>
        <v>http://dx.doi.org/10.1016/j.mtchem.2023.101750</v>
      </c>
      <c r="BG489" s="1" t="s">
        <v>74</v>
      </c>
      <c r="BH489" s="1" t="s">
        <v>314</v>
      </c>
      <c r="BI489" s="1" t="s">
        <v>74</v>
      </c>
      <c r="BJ489" s="1" t="s">
        <v>74</v>
      </c>
      <c r="BK489" s="1" t="s">
        <v>74</v>
      </c>
      <c r="BL489" s="1" t="s">
        <v>74</v>
      </c>
      <c r="BM489" s="1" t="s">
        <v>74</v>
      </c>
      <c r="BN489" s="1" t="s">
        <v>74</v>
      </c>
      <c r="BO489" s="1" t="s">
        <v>74</v>
      </c>
      <c r="BP489" s="1" t="s">
        <v>74</v>
      </c>
      <c r="BQ489" s="1" t="s">
        <v>74</v>
      </c>
      <c r="BR489" s="1" t="s">
        <v>74</v>
      </c>
      <c r="BS489" s="1" t="s">
        <v>5099</v>
      </c>
      <c r="BT489" s="1" t="str">
        <f>HYPERLINK("https%3A%2F%2Fwww.webofscience.com%2Fwos%2Fwoscc%2Ffull-record%2FWOS:001089049100001","View Full Record in Web of Science")</f>
        <v>View Full Record in Web of Science</v>
      </c>
    </row>
    <row r="490" ht="12.75" customHeight="1">
      <c r="A490" s="1" t="s">
        <v>72</v>
      </c>
      <c r="B490" s="1" t="s">
        <v>5100</v>
      </c>
      <c r="C490" s="1" t="s">
        <v>74</v>
      </c>
      <c r="D490" s="1" t="s">
        <v>74</v>
      </c>
      <c r="E490" s="1" t="s">
        <v>74</v>
      </c>
      <c r="F490" s="1" t="s">
        <v>5101</v>
      </c>
      <c r="G490" s="1" t="s">
        <v>74</v>
      </c>
      <c r="H490" s="1" t="s">
        <v>74</v>
      </c>
      <c r="I490" s="1" t="s">
        <v>5102</v>
      </c>
      <c r="J490" s="1" t="s">
        <v>5103</v>
      </c>
      <c r="K490" s="1" t="s">
        <v>74</v>
      </c>
      <c r="L490" s="1" t="s">
        <v>74</v>
      </c>
      <c r="M490" s="1" t="s">
        <v>74</v>
      </c>
      <c r="N490" s="1" t="s">
        <v>74</v>
      </c>
      <c r="O490" s="1" t="s">
        <v>74</v>
      </c>
      <c r="P490" s="1" t="s">
        <v>74</v>
      </c>
      <c r="Q490" s="1" t="s">
        <v>74</v>
      </c>
      <c r="R490" s="1" t="s">
        <v>74</v>
      </c>
      <c r="S490" s="1" t="s">
        <v>74</v>
      </c>
      <c r="T490" s="1" t="s">
        <v>74</v>
      </c>
      <c r="U490" s="1" t="s">
        <v>74</v>
      </c>
      <c r="V490" s="1" t="s">
        <v>5104</v>
      </c>
      <c r="W490" s="1" t="s">
        <v>74</v>
      </c>
      <c r="X490" s="1" t="s">
        <v>74</v>
      </c>
      <c r="Y490" s="1" t="s">
        <v>74</v>
      </c>
      <c r="Z490" s="1" t="s">
        <v>74</v>
      </c>
      <c r="AA490" s="1" t="s">
        <v>5105</v>
      </c>
      <c r="AB490" s="1" t="s">
        <v>5106</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5107</v>
      </c>
      <c r="AP490" s="1" t="s">
        <v>74</v>
      </c>
      <c r="AQ490" s="1" t="s">
        <v>74</v>
      </c>
      <c r="AR490" s="1" t="s">
        <v>74</v>
      </c>
      <c r="AS490" s="1" t="s">
        <v>74</v>
      </c>
      <c r="AT490" s="1" t="s">
        <v>141</v>
      </c>
      <c r="AU490" s="1">
        <v>2023.0</v>
      </c>
      <c r="AV490" s="1">
        <v>52.0</v>
      </c>
      <c r="AW490" s="1" t="s">
        <v>74</v>
      </c>
      <c r="AX490" s="1" t="s">
        <v>74</v>
      </c>
      <c r="AY490" s="1" t="s">
        <v>74</v>
      </c>
      <c r="AZ490" s="1" t="s">
        <v>74</v>
      </c>
      <c r="BA490" s="1" t="s">
        <v>74</v>
      </c>
      <c r="BB490" s="1" t="s">
        <v>74</v>
      </c>
      <c r="BC490" s="1" t="s">
        <v>74</v>
      </c>
      <c r="BD490" s="1">
        <v>106737.0</v>
      </c>
      <c r="BE490" s="1" t="s">
        <v>5108</v>
      </c>
      <c r="BF490" s="2" t="str">
        <f>HYPERLINK("http://dx.doi.org/10.1016/j.rinp.2023.106737","http://dx.doi.org/10.1016/j.rinp.2023.106737")</f>
        <v>http://dx.doi.org/10.1016/j.rinp.2023.106737</v>
      </c>
      <c r="BG490" s="1" t="s">
        <v>74</v>
      </c>
      <c r="BH490" s="1" t="s">
        <v>3540</v>
      </c>
      <c r="BI490" s="1" t="s">
        <v>74</v>
      </c>
      <c r="BJ490" s="1" t="s">
        <v>74</v>
      </c>
      <c r="BK490" s="1" t="s">
        <v>74</v>
      </c>
      <c r="BL490" s="1" t="s">
        <v>74</v>
      </c>
      <c r="BM490" s="1" t="s">
        <v>74</v>
      </c>
      <c r="BN490" s="1" t="s">
        <v>74</v>
      </c>
      <c r="BO490" s="1" t="s">
        <v>74</v>
      </c>
      <c r="BP490" s="1" t="s">
        <v>74</v>
      </c>
      <c r="BQ490" s="1" t="s">
        <v>74</v>
      </c>
      <c r="BR490" s="1" t="s">
        <v>74</v>
      </c>
      <c r="BS490" s="1" t="s">
        <v>5109</v>
      </c>
      <c r="BT490" s="1" t="str">
        <f>HYPERLINK("https%3A%2F%2Fwww.webofscience.com%2Fwos%2Fwoscc%2Ffull-record%2FWOS:001144457600001","View Full Record in Web of Science")</f>
        <v>View Full Record in Web of Science</v>
      </c>
    </row>
    <row r="491" ht="12.75" customHeight="1">
      <c r="A491" s="1" t="s">
        <v>72</v>
      </c>
      <c r="B491" s="1" t="s">
        <v>5110</v>
      </c>
      <c r="C491" s="1" t="s">
        <v>74</v>
      </c>
      <c r="D491" s="1" t="s">
        <v>74</v>
      </c>
      <c r="E491" s="1" t="s">
        <v>74</v>
      </c>
      <c r="F491" s="1" t="s">
        <v>5111</v>
      </c>
      <c r="G491" s="1" t="s">
        <v>74</v>
      </c>
      <c r="H491" s="1" t="s">
        <v>74</v>
      </c>
      <c r="I491" s="1" t="s">
        <v>5112</v>
      </c>
      <c r="J491" s="1" t="s">
        <v>5113</v>
      </c>
      <c r="K491" s="1" t="s">
        <v>74</v>
      </c>
      <c r="L491" s="1" t="s">
        <v>74</v>
      </c>
      <c r="M491" s="1" t="s">
        <v>74</v>
      </c>
      <c r="N491" s="1" t="s">
        <v>74</v>
      </c>
      <c r="O491" s="1" t="s">
        <v>74</v>
      </c>
      <c r="P491" s="1" t="s">
        <v>74</v>
      </c>
      <c r="Q491" s="1" t="s">
        <v>74</v>
      </c>
      <c r="R491" s="1" t="s">
        <v>74</v>
      </c>
      <c r="S491" s="1" t="s">
        <v>74</v>
      </c>
      <c r="T491" s="1" t="s">
        <v>74</v>
      </c>
      <c r="U491" s="1" t="s">
        <v>74</v>
      </c>
      <c r="V491" s="1" t="s">
        <v>74</v>
      </c>
      <c r="W491" s="1" t="s">
        <v>74</v>
      </c>
      <c r="X491" s="1" t="s">
        <v>74</v>
      </c>
      <c r="Y491" s="1" t="s">
        <v>74</v>
      </c>
      <c r="Z491" s="1" t="s">
        <v>74</v>
      </c>
      <c r="AA491" s="1" t="s">
        <v>5114</v>
      </c>
      <c r="AB491" s="1" t="s">
        <v>5115</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5116</v>
      </c>
      <c r="AP491" s="1" t="s">
        <v>74</v>
      </c>
      <c r="AQ491" s="1" t="s">
        <v>74</v>
      </c>
      <c r="AR491" s="1" t="s">
        <v>74</v>
      </c>
      <c r="AS491" s="1" t="s">
        <v>74</v>
      </c>
      <c r="AT491" s="1" t="s">
        <v>5117</v>
      </c>
      <c r="AU491" s="1">
        <v>2022.0</v>
      </c>
      <c r="AV491" s="1">
        <v>8.0</v>
      </c>
      <c r="AW491" s="1" t="s">
        <v>74</v>
      </c>
      <c r="AX491" s="1" t="s">
        <v>74</v>
      </c>
      <c r="AY491" s="1" t="s">
        <v>74</v>
      </c>
      <c r="AZ491" s="1" t="s">
        <v>74</v>
      </c>
      <c r="BA491" s="1" t="s">
        <v>74</v>
      </c>
      <c r="BB491" s="1" t="s">
        <v>74</v>
      </c>
      <c r="BC491" s="1" t="s">
        <v>74</v>
      </c>
      <c r="BD491" s="1">
        <v>763190.0</v>
      </c>
      <c r="BE491" s="1" t="s">
        <v>5118</v>
      </c>
      <c r="BF491" s="2" t="str">
        <f>HYPERLINK("http://dx.doi.org/10.3389/fspas.2021.763190","http://dx.doi.org/10.3389/fspas.2021.763190")</f>
        <v>http://dx.doi.org/10.3389/fspas.2021.763190</v>
      </c>
      <c r="BG491" s="1" t="s">
        <v>74</v>
      </c>
      <c r="BH491" s="1" t="s">
        <v>74</v>
      </c>
      <c r="BI491" s="1" t="s">
        <v>74</v>
      </c>
      <c r="BJ491" s="1" t="s">
        <v>74</v>
      </c>
      <c r="BK491" s="1" t="s">
        <v>74</v>
      </c>
      <c r="BL491" s="1" t="s">
        <v>74</v>
      </c>
      <c r="BM491" s="1" t="s">
        <v>74</v>
      </c>
      <c r="BN491" s="1" t="s">
        <v>74</v>
      </c>
      <c r="BO491" s="1" t="s">
        <v>74</v>
      </c>
      <c r="BP491" s="1" t="s">
        <v>74</v>
      </c>
      <c r="BQ491" s="1" t="s">
        <v>74</v>
      </c>
      <c r="BR491" s="1" t="s">
        <v>74</v>
      </c>
      <c r="BS491" s="1" t="s">
        <v>5119</v>
      </c>
      <c r="BT491" s="1" t="str">
        <f>HYPERLINK("https%3A%2F%2Fwww.webofscience.com%2Fwos%2Fwoscc%2Ffull-record%2FWOS:000774189700001","View Full Record in Web of Science")</f>
        <v>View Full Record in Web of Science</v>
      </c>
    </row>
    <row r="492" ht="12.75" customHeight="1">
      <c r="A492" s="1" t="s">
        <v>72</v>
      </c>
      <c r="B492" s="1" t="s">
        <v>5120</v>
      </c>
      <c r="C492" s="1" t="s">
        <v>74</v>
      </c>
      <c r="D492" s="1" t="s">
        <v>74</v>
      </c>
      <c r="E492" s="1" t="s">
        <v>74</v>
      </c>
      <c r="F492" s="1" t="s">
        <v>5121</v>
      </c>
      <c r="G492" s="1" t="s">
        <v>74</v>
      </c>
      <c r="H492" s="1" t="s">
        <v>74</v>
      </c>
      <c r="I492" s="1" t="s">
        <v>5122</v>
      </c>
      <c r="J492" s="1" t="s">
        <v>2379</v>
      </c>
      <c r="K492" s="1" t="s">
        <v>74</v>
      </c>
      <c r="L492" s="1" t="s">
        <v>74</v>
      </c>
      <c r="M492" s="1" t="s">
        <v>74</v>
      </c>
      <c r="N492" s="1" t="s">
        <v>74</v>
      </c>
      <c r="O492" s="1" t="s">
        <v>74</v>
      </c>
      <c r="P492" s="1" t="s">
        <v>74</v>
      </c>
      <c r="Q492" s="1" t="s">
        <v>74</v>
      </c>
      <c r="R492" s="1" t="s">
        <v>74</v>
      </c>
      <c r="S492" s="1" t="s">
        <v>74</v>
      </c>
      <c r="T492" s="1" t="s">
        <v>74</v>
      </c>
      <c r="U492" s="1" t="s">
        <v>74</v>
      </c>
      <c r="V492" s="1" t="s">
        <v>5123</v>
      </c>
      <c r="W492" s="1" t="s">
        <v>74</v>
      </c>
      <c r="X492" s="1" t="s">
        <v>74</v>
      </c>
      <c r="Y492" s="1" t="s">
        <v>74</v>
      </c>
      <c r="Z492" s="1" t="s">
        <v>74</v>
      </c>
      <c r="AA492" s="1" t="s">
        <v>5124</v>
      </c>
      <c r="AB492" s="1" t="s">
        <v>5125</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2383</v>
      </c>
      <c r="AP492" s="1" t="s">
        <v>2384</v>
      </c>
      <c r="AQ492" s="1" t="s">
        <v>74</v>
      </c>
      <c r="AR492" s="1" t="s">
        <v>74</v>
      </c>
      <c r="AS492" s="1" t="s">
        <v>74</v>
      </c>
      <c r="AT492" s="1" t="s">
        <v>74</v>
      </c>
      <c r="AU492" s="1">
        <v>2014.0</v>
      </c>
      <c r="AV492" s="1">
        <v>43.0</v>
      </c>
      <c r="AW492" s="1">
        <v>37.0</v>
      </c>
      <c r="AX492" s="1" t="s">
        <v>74</v>
      </c>
      <c r="AY492" s="1" t="s">
        <v>74</v>
      </c>
      <c r="AZ492" s="1" t="s">
        <v>74</v>
      </c>
      <c r="BA492" s="1" t="s">
        <v>74</v>
      </c>
      <c r="BB492" s="1">
        <v>14132.0</v>
      </c>
      <c r="BC492" s="1">
        <v>14141.0</v>
      </c>
      <c r="BD492" s="1" t="s">
        <v>74</v>
      </c>
      <c r="BE492" s="1" t="s">
        <v>5126</v>
      </c>
      <c r="BF492" s="2" t="str">
        <f>HYPERLINK("http://dx.doi.org/10.1039/c4dt01561d","http://dx.doi.org/10.1039/c4dt01561d")</f>
        <v>http://dx.doi.org/10.1039/c4dt01561d</v>
      </c>
      <c r="BG492" s="1" t="s">
        <v>74</v>
      </c>
      <c r="BH492" s="1" t="s">
        <v>74</v>
      </c>
      <c r="BI492" s="1" t="s">
        <v>74</v>
      </c>
      <c r="BJ492" s="1" t="s">
        <v>74</v>
      </c>
      <c r="BK492" s="1" t="s">
        <v>74</v>
      </c>
      <c r="BL492" s="1" t="s">
        <v>74</v>
      </c>
      <c r="BM492" s="1" t="s">
        <v>74</v>
      </c>
      <c r="BN492" s="1">
        <v>2.513562E7</v>
      </c>
      <c r="BO492" s="1" t="s">
        <v>74</v>
      </c>
      <c r="BP492" s="1" t="s">
        <v>74</v>
      </c>
      <c r="BQ492" s="1" t="s">
        <v>74</v>
      </c>
      <c r="BR492" s="1" t="s">
        <v>74</v>
      </c>
      <c r="BS492" s="1" t="s">
        <v>5127</v>
      </c>
      <c r="BT492" s="1" t="str">
        <f>HYPERLINK("https%3A%2F%2Fwww.webofscience.com%2Fwos%2Fwoscc%2Ffull-record%2FWOS:000342074100037","View Full Record in Web of Science")</f>
        <v>View Full Record in Web of Science</v>
      </c>
    </row>
    <row r="493" ht="12.75" customHeight="1">
      <c r="A493" s="1" t="s">
        <v>462</v>
      </c>
      <c r="B493" s="1" t="s">
        <v>5128</v>
      </c>
      <c r="C493" s="1" t="s">
        <v>74</v>
      </c>
      <c r="D493" s="1" t="s">
        <v>5129</v>
      </c>
      <c r="E493" s="1" t="s">
        <v>74</v>
      </c>
      <c r="F493" s="1" t="s">
        <v>5130</v>
      </c>
      <c r="G493" s="1" t="s">
        <v>74</v>
      </c>
      <c r="H493" s="1" t="s">
        <v>74</v>
      </c>
      <c r="I493" s="1" t="s">
        <v>5131</v>
      </c>
      <c r="J493" s="1" t="s">
        <v>5132</v>
      </c>
      <c r="K493" s="1" t="s">
        <v>5133</v>
      </c>
      <c r="L493" s="1" t="s">
        <v>74</v>
      </c>
      <c r="M493" s="1" t="s">
        <v>74</v>
      </c>
      <c r="N493" s="1" t="s">
        <v>74</v>
      </c>
      <c r="O493" s="1" t="s">
        <v>5134</v>
      </c>
      <c r="P493" s="1" t="s">
        <v>5135</v>
      </c>
      <c r="Q493" s="1" t="s">
        <v>5136</v>
      </c>
      <c r="R493" s="1" t="s">
        <v>5137</v>
      </c>
      <c r="S493" s="1" t="s">
        <v>74</v>
      </c>
      <c r="T493" s="1" t="s">
        <v>74</v>
      </c>
      <c r="U493" s="1" t="s">
        <v>74</v>
      </c>
      <c r="V493" s="1" t="s">
        <v>5138</v>
      </c>
      <c r="W493" s="1" t="s">
        <v>74</v>
      </c>
      <c r="X493" s="1" t="s">
        <v>74</v>
      </c>
      <c r="Y493" s="1" t="s">
        <v>74</v>
      </c>
      <c r="Z493" s="1" t="s">
        <v>74</v>
      </c>
      <c r="AA493" s="1" t="s">
        <v>5139</v>
      </c>
      <c r="AB493" s="1" t="s">
        <v>5140</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5141</v>
      </c>
      <c r="AP493" s="1" t="s">
        <v>74</v>
      </c>
      <c r="AQ493" s="1" t="s">
        <v>74</v>
      </c>
      <c r="AR493" s="1" t="s">
        <v>74</v>
      </c>
      <c r="AS493" s="1" t="s">
        <v>74</v>
      </c>
      <c r="AT493" s="1" t="s">
        <v>74</v>
      </c>
      <c r="AU493" s="1">
        <v>2011.0</v>
      </c>
      <c r="AV493" s="1">
        <v>304.0</v>
      </c>
      <c r="AW493" s="1" t="s">
        <v>74</v>
      </c>
      <c r="AX493" s="1" t="s">
        <v>74</v>
      </c>
      <c r="AY493" s="1" t="s">
        <v>74</v>
      </c>
      <c r="AZ493" s="1" t="s">
        <v>74</v>
      </c>
      <c r="BA493" s="1" t="s">
        <v>74</v>
      </c>
      <c r="BB493" s="1">
        <v>80.0</v>
      </c>
      <c r="BC493" s="1">
        <v>86.0</v>
      </c>
      <c r="BD493" s="1" t="s">
        <v>74</v>
      </c>
      <c r="BE493" s="1" t="s">
        <v>5142</v>
      </c>
      <c r="BF493" s="2" t="str">
        <f>HYPERLINK("http://dx.doi.org/10.1002/masy.201150611","http://dx.doi.org/10.1002/masy.201150611")</f>
        <v>http://dx.doi.org/10.1002/masy.201150611</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5143</v>
      </c>
      <c r="BT493" s="1" t="str">
        <f>HYPERLINK("https%3A%2F%2Fwww.webofscience.com%2Fwos%2Fwoscc%2Ffull-record%2FWOS:000297026400011","View Full Record in Web of Science")</f>
        <v>View Full Record in Web of Science</v>
      </c>
    </row>
    <row r="494" ht="12.75" customHeight="1">
      <c r="A494" s="1" t="s">
        <v>72</v>
      </c>
      <c r="B494" s="1" t="s">
        <v>5144</v>
      </c>
      <c r="C494" s="1" t="s">
        <v>74</v>
      </c>
      <c r="D494" s="1" t="s">
        <v>74</v>
      </c>
      <c r="E494" s="1" t="s">
        <v>74</v>
      </c>
      <c r="F494" s="1" t="s">
        <v>5145</v>
      </c>
      <c r="G494" s="1" t="s">
        <v>74</v>
      </c>
      <c r="H494" s="1" t="s">
        <v>74</v>
      </c>
      <c r="I494" s="1" t="s">
        <v>5146</v>
      </c>
      <c r="J494" s="1" t="s">
        <v>3493</v>
      </c>
      <c r="K494" s="1" t="s">
        <v>74</v>
      </c>
      <c r="L494" s="1" t="s">
        <v>74</v>
      </c>
      <c r="M494" s="1" t="s">
        <v>74</v>
      </c>
      <c r="N494" s="1" t="s">
        <v>74</v>
      </c>
      <c r="O494" s="1" t="s">
        <v>74</v>
      </c>
      <c r="P494" s="1" t="s">
        <v>74</v>
      </c>
      <c r="Q494" s="1" t="s">
        <v>74</v>
      </c>
      <c r="R494" s="1" t="s">
        <v>74</v>
      </c>
      <c r="S494" s="1" t="s">
        <v>74</v>
      </c>
      <c r="T494" s="1" t="s">
        <v>74</v>
      </c>
      <c r="U494" s="1" t="s">
        <v>74</v>
      </c>
      <c r="V494" s="1" t="s">
        <v>5147</v>
      </c>
      <c r="W494" s="1" t="s">
        <v>74</v>
      </c>
      <c r="X494" s="1" t="s">
        <v>74</v>
      </c>
      <c r="Y494" s="1" t="s">
        <v>74</v>
      </c>
      <c r="Z494" s="1" t="s">
        <v>74</v>
      </c>
      <c r="AA494" s="1" t="s">
        <v>5148</v>
      </c>
      <c r="AB494" s="1" t="s">
        <v>5149</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3497</v>
      </c>
      <c r="AP494" s="1" t="s">
        <v>74</v>
      </c>
      <c r="AQ494" s="1" t="s">
        <v>74</v>
      </c>
      <c r="AR494" s="1" t="s">
        <v>74</v>
      </c>
      <c r="AS494" s="1" t="s">
        <v>74</v>
      </c>
      <c r="AT494" s="1" t="s">
        <v>5150</v>
      </c>
      <c r="AU494" s="1">
        <v>2010.0</v>
      </c>
      <c r="AV494" s="1">
        <v>30.0</v>
      </c>
      <c r="AW494" s="1">
        <v>44.0</v>
      </c>
      <c r="AX494" s="1" t="s">
        <v>74</v>
      </c>
      <c r="AY494" s="1" t="s">
        <v>74</v>
      </c>
      <c r="AZ494" s="1" t="s">
        <v>74</v>
      </c>
      <c r="BA494" s="1" t="s">
        <v>74</v>
      </c>
      <c r="BB494" s="1">
        <v>14883.0</v>
      </c>
      <c r="BC494" s="1">
        <v>14895.0</v>
      </c>
      <c r="BD494" s="1" t="s">
        <v>74</v>
      </c>
      <c r="BE494" s="1" t="s">
        <v>5151</v>
      </c>
      <c r="BF494" s="2" t="str">
        <f>HYPERLINK("http://dx.doi.org/10.1523/JNEUROSCI.4031-10.2010","http://dx.doi.org/10.1523/JNEUROSCI.4031-10.2010")</f>
        <v>http://dx.doi.org/10.1523/JNEUROSCI.4031-10.2010</v>
      </c>
      <c r="BG494" s="1" t="s">
        <v>74</v>
      </c>
      <c r="BH494" s="1" t="s">
        <v>74</v>
      </c>
      <c r="BI494" s="1" t="s">
        <v>74</v>
      </c>
      <c r="BJ494" s="1" t="s">
        <v>74</v>
      </c>
      <c r="BK494" s="1" t="s">
        <v>74</v>
      </c>
      <c r="BL494" s="1" t="s">
        <v>74</v>
      </c>
      <c r="BM494" s="1" t="s">
        <v>74</v>
      </c>
      <c r="BN494" s="1">
        <v>2.1048147E7</v>
      </c>
      <c r="BO494" s="1" t="s">
        <v>74</v>
      </c>
      <c r="BP494" s="1" t="s">
        <v>74</v>
      </c>
      <c r="BQ494" s="1" t="s">
        <v>74</v>
      </c>
      <c r="BR494" s="1" t="s">
        <v>74</v>
      </c>
      <c r="BS494" s="1" t="s">
        <v>5152</v>
      </c>
      <c r="BT494" s="1" t="str">
        <f>HYPERLINK("https%3A%2F%2Fwww.webofscience.com%2Fwos%2Fwoscc%2Ffull-record%2FWOS:000283793400032","View Full Record in Web of Science")</f>
        <v>View Full Record in Web of Science</v>
      </c>
    </row>
    <row r="495" ht="12.75" customHeight="1">
      <c r="A495" s="1" t="s">
        <v>72</v>
      </c>
      <c r="B495" s="1" t="s">
        <v>5153</v>
      </c>
      <c r="C495" s="1" t="s">
        <v>74</v>
      </c>
      <c r="D495" s="1" t="s">
        <v>74</v>
      </c>
      <c r="E495" s="1" t="s">
        <v>74</v>
      </c>
      <c r="F495" s="1" t="s">
        <v>5154</v>
      </c>
      <c r="G495" s="1" t="s">
        <v>74</v>
      </c>
      <c r="H495" s="1" t="s">
        <v>74</v>
      </c>
      <c r="I495" s="1" t="s">
        <v>5155</v>
      </c>
      <c r="J495" s="1" t="s">
        <v>5156</v>
      </c>
      <c r="K495" s="1" t="s">
        <v>74</v>
      </c>
      <c r="L495" s="1" t="s">
        <v>74</v>
      </c>
      <c r="M495" s="1" t="s">
        <v>74</v>
      </c>
      <c r="N495" s="1" t="s">
        <v>74</v>
      </c>
      <c r="O495" s="1" t="s">
        <v>74</v>
      </c>
      <c r="P495" s="1" t="s">
        <v>74</v>
      </c>
      <c r="Q495" s="1" t="s">
        <v>74</v>
      </c>
      <c r="R495" s="1" t="s">
        <v>74</v>
      </c>
      <c r="S495" s="1" t="s">
        <v>74</v>
      </c>
      <c r="T495" s="1" t="s">
        <v>74</v>
      </c>
      <c r="U495" s="1" t="s">
        <v>74</v>
      </c>
      <c r="V495" s="1" t="s">
        <v>5157</v>
      </c>
      <c r="W495" s="1" t="s">
        <v>74</v>
      </c>
      <c r="X495" s="1" t="s">
        <v>74</v>
      </c>
      <c r="Y495" s="1" t="s">
        <v>74</v>
      </c>
      <c r="Z495" s="1" t="s">
        <v>74</v>
      </c>
      <c r="AA495" s="1" t="s">
        <v>5158</v>
      </c>
      <c r="AB495" s="1" t="s">
        <v>5159</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5160</v>
      </c>
      <c r="AP495" s="1" t="s">
        <v>5161</v>
      </c>
      <c r="AQ495" s="1" t="s">
        <v>74</v>
      </c>
      <c r="AR495" s="1" t="s">
        <v>74</v>
      </c>
      <c r="AS495" s="1" t="s">
        <v>74</v>
      </c>
      <c r="AT495" s="1" t="s">
        <v>5162</v>
      </c>
      <c r="AU495" s="1">
        <v>2024.0</v>
      </c>
      <c r="AV495" s="1">
        <v>19.0</v>
      </c>
      <c r="AW495" s="1">
        <v>11.0</v>
      </c>
      <c r="AX495" s="1" t="s">
        <v>74</v>
      </c>
      <c r="AY495" s="1" t="s">
        <v>74</v>
      </c>
      <c r="AZ495" s="1" t="s">
        <v>74</v>
      </c>
      <c r="BA495" s="1" t="s">
        <v>74</v>
      </c>
      <c r="BB495" s="1">
        <v>3801.0</v>
      </c>
      <c r="BC495" s="1">
        <v>3827.0</v>
      </c>
      <c r="BD495" s="1" t="s">
        <v>74</v>
      </c>
      <c r="BE495" s="1" t="s">
        <v>5163</v>
      </c>
      <c r="BF495" s="2" t="str">
        <f>HYPERLINK("http://dx.doi.org/10.1108/IJOEM-08-2021-1202","http://dx.doi.org/10.1108/IJOEM-08-2021-1202")</f>
        <v>http://dx.doi.org/10.1108/IJOEM-08-2021-1202</v>
      </c>
      <c r="BG495" s="1" t="s">
        <v>74</v>
      </c>
      <c r="BH495" s="1" t="s">
        <v>1899</v>
      </c>
      <c r="BI495" s="1" t="s">
        <v>74</v>
      </c>
      <c r="BJ495" s="1" t="s">
        <v>74</v>
      </c>
      <c r="BK495" s="1" t="s">
        <v>74</v>
      </c>
      <c r="BL495" s="1" t="s">
        <v>74</v>
      </c>
      <c r="BM495" s="1" t="s">
        <v>74</v>
      </c>
      <c r="BN495" s="1" t="s">
        <v>74</v>
      </c>
      <c r="BO495" s="1" t="s">
        <v>74</v>
      </c>
      <c r="BP495" s="1" t="s">
        <v>74</v>
      </c>
      <c r="BQ495" s="1" t="s">
        <v>74</v>
      </c>
      <c r="BR495" s="1" t="s">
        <v>74</v>
      </c>
      <c r="BS495" s="1" t="s">
        <v>5164</v>
      </c>
      <c r="BT495" s="1" t="str">
        <f>HYPERLINK("https%3A%2F%2Fwww.webofscience.com%2Fwos%2Fwoscc%2Ffull-record%2FWOS:000963554100001","View Full Record in Web of Science")</f>
        <v>View Full Record in Web of Science</v>
      </c>
    </row>
    <row r="496" ht="12.75" customHeight="1">
      <c r="A496" s="1" t="s">
        <v>72</v>
      </c>
      <c r="B496" s="1" t="s">
        <v>4468</v>
      </c>
      <c r="C496" s="1" t="s">
        <v>74</v>
      </c>
      <c r="D496" s="1" t="s">
        <v>74</v>
      </c>
      <c r="E496" s="1" t="s">
        <v>74</v>
      </c>
      <c r="F496" s="1" t="s">
        <v>5165</v>
      </c>
      <c r="G496" s="1" t="s">
        <v>74</v>
      </c>
      <c r="H496" s="1" t="s">
        <v>74</v>
      </c>
      <c r="I496" s="1" t="s">
        <v>5166</v>
      </c>
      <c r="J496" s="1" t="s">
        <v>1181</v>
      </c>
      <c r="K496" s="1" t="s">
        <v>74</v>
      </c>
      <c r="L496" s="1" t="s">
        <v>74</v>
      </c>
      <c r="M496" s="1" t="s">
        <v>74</v>
      </c>
      <c r="N496" s="1" t="s">
        <v>74</v>
      </c>
      <c r="O496" s="1" t="s">
        <v>74</v>
      </c>
      <c r="P496" s="1" t="s">
        <v>74</v>
      </c>
      <c r="Q496" s="1" t="s">
        <v>74</v>
      </c>
      <c r="R496" s="1" t="s">
        <v>74</v>
      </c>
      <c r="S496" s="1" t="s">
        <v>74</v>
      </c>
      <c r="T496" s="1" t="s">
        <v>74</v>
      </c>
      <c r="U496" s="1" t="s">
        <v>74</v>
      </c>
      <c r="V496" s="1" t="s">
        <v>5167</v>
      </c>
      <c r="W496" s="1" t="s">
        <v>74</v>
      </c>
      <c r="X496" s="1" t="s">
        <v>74</v>
      </c>
      <c r="Y496" s="1" t="s">
        <v>74</v>
      </c>
      <c r="Z496" s="1" t="s">
        <v>74</v>
      </c>
      <c r="AA496" s="1" t="s">
        <v>5168</v>
      </c>
      <c r="AB496" s="1" t="s">
        <v>5169</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1185</v>
      </c>
      <c r="AP496" s="1" t="s">
        <v>1186</v>
      </c>
      <c r="AQ496" s="1" t="s">
        <v>74</v>
      </c>
      <c r="AR496" s="1" t="s">
        <v>74</v>
      </c>
      <c r="AS496" s="1" t="s">
        <v>74</v>
      </c>
      <c r="AT496" s="1" t="s">
        <v>700</v>
      </c>
      <c r="AU496" s="1">
        <v>2023.0</v>
      </c>
      <c r="AV496" s="1">
        <v>56.0</v>
      </c>
      <c r="AW496" s="1">
        <v>1.0</v>
      </c>
      <c r="AX496" s="1" t="s">
        <v>74</v>
      </c>
      <c r="AY496" s="1" t="s">
        <v>74</v>
      </c>
      <c r="AZ496" s="1" t="s">
        <v>74</v>
      </c>
      <c r="BA496" s="1" t="s">
        <v>74</v>
      </c>
      <c r="BB496" s="1" t="s">
        <v>74</v>
      </c>
      <c r="BC496" s="1" t="s">
        <v>74</v>
      </c>
      <c r="BD496" s="1">
        <v>8.0</v>
      </c>
      <c r="BE496" s="1" t="s">
        <v>5170</v>
      </c>
      <c r="BF496" s="2" t="str">
        <f>HYPERLINK("http://dx.doi.org/10.1186/s40659-023-00419-4","http://dx.doi.org/10.1186/s40659-023-00419-4")</f>
        <v>http://dx.doi.org/10.1186/s40659-023-00419-4</v>
      </c>
      <c r="BG496" s="1" t="s">
        <v>74</v>
      </c>
      <c r="BH496" s="1" t="s">
        <v>74</v>
      </c>
      <c r="BI496" s="1" t="s">
        <v>74</v>
      </c>
      <c r="BJ496" s="1" t="s">
        <v>74</v>
      </c>
      <c r="BK496" s="1" t="s">
        <v>74</v>
      </c>
      <c r="BL496" s="1" t="s">
        <v>74</v>
      </c>
      <c r="BM496" s="1" t="s">
        <v>74</v>
      </c>
      <c r="BN496" s="1">
        <v>3.6869357E7</v>
      </c>
      <c r="BO496" s="1" t="s">
        <v>74</v>
      </c>
      <c r="BP496" s="1" t="s">
        <v>74</v>
      </c>
      <c r="BQ496" s="1" t="s">
        <v>74</v>
      </c>
      <c r="BR496" s="1" t="s">
        <v>74</v>
      </c>
      <c r="BS496" s="1" t="s">
        <v>5171</v>
      </c>
      <c r="BT496" s="1" t="str">
        <f>HYPERLINK("https%3A%2F%2Fwww.webofscience.com%2Fwos%2Fwoscc%2Ffull-record%2FWOS:000943175100001","View Full Record in Web of Science")</f>
        <v>View Full Record in Web of Science</v>
      </c>
    </row>
    <row r="497" ht="12.75" customHeight="1">
      <c r="A497" s="1" t="s">
        <v>72</v>
      </c>
      <c r="B497" s="1" t="s">
        <v>5172</v>
      </c>
      <c r="C497" s="1" t="s">
        <v>74</v>
      </c>
      <c r="D497" s="1" t="s">
        <v>74</v>
      </c>
      <c r="E497" s="1" t="s">
        <v>74</v>
      </c>
      <c r="F497" s="1" t="s">
        <v>5173</v>
      </c>
      <c r="G497" s="1" t="s">
        <v>74</v>
      </c>
      <c r="H497" s="1" t="s">
        <v>74</v>
      </c>
      <c r="I497" s="1" t="s">
        <v>5174</v>
      </c>
      <c r="J497" s="1" t="s">
        <v>5175</v>
      </c>
      <c r="K497" s="1" t="s">
        <v>74</v>
      </c>
      <c r="L497" s="1" t="s">
        <v>74</v>
      </c>
      <c r="M497" s="1" t="s">
        <v>74</v>
      </c>
      <c r="N497" s="1" t="s">
        <v>74</v>
      </c>
      <c r="O497" s="1" t="s">
        <v>74</v>
      </c>
      <c r="P497" s="1" t="s">
        <v>74</v>
      </c>
      <c r="Q497" s="1" t="s">
        <v>74</v>
      </c>
      <c r="R497" s="1" t="s">
        <v>74</v>
      </c>
      <c r="S497" s="1" t="s">
        <v>74</v>
      </c>
      <c r="T497" s="1" t="s">
        <v>74</v>
      </c>
      <c r="U497" s="1" t="s">
        <v>74</v>
      </c>
      <c r="V497" s="1" t="s">
        <v>5176</v>
      </c>
      <c r="W497" s="1" t="s">
        <v>74</v>
      </c>
      <c r="X497" s="1" t="s">
        <v>74</v>
      </c>
      <c r="Y497" s="1" t="s">
        <v>74</v>
      </c>
      <c r="Z497" s="1" t="s">
        <v>74</v>
      </c>
      <c r="AA497" s="1" t="s">
        <v>5177</v>
      </c>
      <c r="AB497" s="1" t="s">
        <v>5178</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74</v>
      </c>
      <c r="AP497" s="1" t="s">
        <v>5179</v>
      </c>
      <c r="AQ497" s="1" t="s">
        <v>74</v>
      </c>
      <c r="AR497" s="1" t="s">
        <v>74</v>
      </c>
      <c r="AS497" s="1" t="s">
        <v>74</v>
      </c>
      <c r="AT497" s="1" t="s">
        <v>346</v>
      </c>
      <c r="AU497" s="1">
        <v>2023.0</v>
      </c>
      <c r="AV497" s="1">
        <v>15.0</v>
      </c>
      <c r="AW497" s="1">
        <v>3.0</v>
      </c>
      <c r="AX497" s="1" t="s">
        <v>74</v>
      </c>
      <c r="AY497" s="1" t="s">
        <v>74</v>
      </c>
      <c r="AZ497" s="1" t="s">
        <v>74</v>
      </c>
      <c r="BA497" s="1" t="s">
        <v>74</v>
      </c>
      <c r="BB497" s="1" t="s">
        <v>74</v>
      </c>
      <c r="BC497" s="1" t="s">
        <v>74</v>
      </c>
      <c r="BD497" s="1">
        <v>897.0</v>
      </c>
      <c r="BE497" s="1" t="s">
        <v>5180</v>
      </c>
      <c r="BF497" s="2" t="str">
        <f>HYPERLINK("http://dx.doi.org/10.3390/pharmaceutics15030897","http://dx.doi.org/10.3390/pharmaceutics15030897")</f>
        <v>http://dx.doi.org/10.3390/pharmaceutics15030897</v>
      </c>
      <c r="BG497" s="1" t="s">
        <v>74</v>
      </c>
      <c r="BH497" s="1" t="s">
        <v>74</v>
      </c>
      <c r="BI497" s="1" t="s">
        <v>74</v>
      </c>
      <c r="BJ497" s="1" t="s">
        <v>74</v>
      </c>
      <c r="BK497" s="1" t="s">
        <v>74</v>
      </c>
      <c r="BL497" s="1" t="s">
        <v>74</v>
      </c>
      <c r="BM497" s="1" t="s">
        <v>74</v>
      </c>
      <c r="BN497" s="1">
        <v>3.6986757E7</v>
      </c>
      <c r="BO497" s="1" t="s">
        <v>74</v>
      </c>
      <c r="BP497" s="1" t="s">
        <v>74</v>
      </c>
      <c r="BQ497" s="1" t="s">
        <v>74</v>
      </c>
      <c r="BR497" s="1" t="s">
        <v>74</v>
      </c>
      <c r="BS497" s="1" t="s">
        <v>5181</v>
      </c>
      <c r="BT497" s="1" t="str">
        <f>HYPERLINK("https%3A%2F%2Fwww.webofscience.com%2Fwos%2Fwoscc%2Ffull-record%2FWOS:000960246200001","View Full Record in Web of Science")</f>
        <v>View Full Record in Web of Science</v>
      </c>
    </row>
    <row r="498" ht="12.75" customHeight="1">
      <c r="A498" s="1" t="s">
        <v>72</v>
      </c>
      <c r="B498" s="1" t="s">
        <v>5182</v>
      </c>
      <c r="C498" s="1" t="s">
        <v>74</v>
      </c>
      <c r="D498" s="1" t="s">
        <v>74</v>
      </c>
      <c r="E498" s="1" t="s">
        <v>74</v>
      </c>
      <c r="F498" s="1" t="s">
        <v>5183</v>
      </c>
      <c r="G498" s="1" t="s">
        <v>74</v>
      </c>
      <c r="H498" s="1" t="s">
        <v>74</v>
      </c>
      <c r="I498" s="1" t="s">
        <v>5184</v>
      </c>
      <c r="J498" s="1" t="s">
        <v>821</v>
      </c>
      <c r="K498" s="1" t="s">
        <v>74</v>
      </c>
      <c r="L498" s="1" t="s">
        <v>74</v>
      </c>
      <c r="M498" s="1" t="s">
        <v>74</v>
      </c>
      <c r="N498" s="1" t="s">
        <v>74</v>
      </c>
      <c r="O498" s="1" t="s">
        <v>74</v>
      </c>
      <c r="P498" s="1" t="s">
        <v>74</v>
      </c>
      <c r="Q498" s="1" t="s">
        <v>74</v>
      </c>
      <c r="R498" s="1" t="s">
        <v>74</v>
      </c>
      <c r="S498" s="1" t="s">
        <v>74</v>
      </c>
      <c r="T498" s="1" t="s">
        <v>74</v>
      </c>
      <c r="U498" s="1" t="s">
        <v>74</v>
      </c>
      <c r="V498" s="1" t="s">
        <v>5185</v>
      </c>
      <c r="W498" s="1" t="s">
        <v>74</v>
      </c>
      <c r="X498" s="1" t="s">
        <v>74</v>
      </c>
      <c r="Y498" s="1" t="s">
        <v>74</v>
      </c>
      <c r="Z498" s="1" t="s">
        <v>74</v>
      </c>
      <c r="AA498" s="1" t="s">
        <v>5186</v>
      </c>
      <c r="AB498" s="1" t="s">
        <v>5187</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74</v>
      </c>
      <c r="AP498" s="1" t="s">
        <v>825</v>
      </c>
      <c r="AQ498" s="1" t="s">
        <v>74</v>
      </c>
      <c r="AR498" s="1" t="s">
        <v>74</v>
      </c>
      <c r="AS498" s="1" t="s">
        <v>74</v>
      </c>
      <c r="AT498" s="1" t="s">
        <v>5188</v>
      </c>
      <c r="AU498" s="1">
        <v>2022.0</v>
      </c>
      <c r="AV498" s="1">
        <v>10.0</v>
      </c>
      <c r="AW498" s="1" t="s">
        <v>74</v>
      </c>
      <c r="AX498" s="1" t="s">
        <v>74</v>
      </c>
      <c r="AY498" s="1" t="s">
        <v>74</v>
      </c>
      <c r="AZ498" s="1" t="s">
        <v>74</v>
      </c>
      <c r="BA498" s="1" t="s">
        <v>74</v>
      </c>
      <c r="BB498" s="1" t="s">
        <v>74</v>
      </c>
      <c r="BC498" s="1" t="s">
        <v>74</v>
      </c>
      <c r="BD498" s="1">
        <v>913519.0</v>
      </c>
      <c r="BE498" s="1" t="s">
        <v>5189</v>
      </c>
      <c r="BF498" s="2" t="str">
        <f>HYPERLINK("http://dx.doi.org/10.3389/fpubh.2022.913519","http://dx.doi.org/10.3389/fpubh.2022.913519")</f>
        <v>http://dx.doi.org/10.3389/fpubh.2022.913519</v>
      </c>
      <c r="BG498" s="1" t="s">
        <v>74</v>
      </c>
      <c r="BH498" s="1" t="s">
        <v>74</v>
      </c>
      <c r="BI498" s="1" t="s">
        <v>74</v>
      </c>
      <c r="BJ498" s="1" t="s">
        <v>74</v>
      </c>
      <c r="BK498" s="1" t="s">
        <v>74</v>
      </c>
      <c r="BL498" s="1" t="s">
        <v>74</v>
      </c>
      <c r="BM498" s="1" t="s">
        <v>74</v>
      </c>
      <c r="BN498" s="1">
        <v>3.5844873E7</v>
      </c>
      <c r="BO498" s="1" t="s">
        <v>74</v>
      </c>
      <c r="BP498" s="1" t="s">
        <v>74</v>
      </c>
      <c r="BQ498" s="1" t="s">
        <v>74</v>
      </c>
      <c r="BR498" s="1" t="s">
        <v>74</v>
      </c>
      <c r="BS498" s="1" t="s">
        <v>5190</v>
      </c>
      <c r="BT498" s="1" t="str">
        <f>HYPERLINK("https%3A%2F%2Fwww.webofscience.com%2Fwos%2Fwoscc%2Ffull-record%2FWOS:000827350500001","View Full Record in Web of Science")</f>
        <v>View Full Record in Web of Science</v>
      </c>
    </row>
    <row r="499" ht="12.75" customHeight="1">
      <c r="A499" s="1" t="s">
        <v>72</v>
      </c>
      <c r="B499" s="1" t="s">
        <v>5191</v>
      </c>
      <c r="C499" s="1" t="s">
        <v>74</v>
      </c>
      <c r="D499" s="1" t="s">
        <v>74</v>
      </c>
      <c r="E499" s="1" t="s">
        <v>74</v>
      </c>
      <c r="F499" s="1" t="s">
        <v>5192</v>
      </c>
      <c r="G499" s="1" t="s">
        <v>74</v>
      </c>
      <c r="H499" s="1" t="s">
        <v>74</v>
      </c>
      <c r="I499" s="1" t="s">
        <v>5193</v>
      </c>
      <c r="J499" s="1" t="s">
        <v>1121</v>
      </c>
      <c r="K499" s="1" t="s">
        <v>74</v>
      </c>
      <c r="L499" s="1" t="s">
        <v>74</v>
      </c>
      <c r="M499" s="1" t="s">
        <v>74</v>
      </c>
      <c r="N499" s="1" t="s">
        <v>74</v>
      </c>
      <c r="O499" s="1" t="s">
        <v>74</v>
      </c>
      <c r="P499" s="1" t="s">
        <v>74</v>
      </c>
      <c r="Q499" s="1" t="s">
        <v>74</v>
      </c>
      <c r="R499" s="1" t="s">
        <v>74</v>
      </c>
      <c r="S499" s="1" t="s">
        <v>74</v>
      </c>
      <c r="T499" s="1" t="s">
        <v>74</v>
      </c>
      <c r="U499" s="1" t="s">
        <v>74</v>
      </c>
      <c r="V499" s="1" t="s">
        <v>5194</v>
      </c>
      <c r="W499" s="1" t="s">
        <v>74</v>
      </c>
      <c r="X499" s="1" t="s">
        <v>74</v>
      </c>
      <c r="Y499" s="1" t="s">
        <v>74</v>
      </c>
      <c r="Z499" s="1" t="s">
        <v>74</v>
      </c>
      <c r="AA499" s="1" t="s">
        <v>5195</v>
      </c>
      <c r="AB499" s="1" t="s">
        <v>5196</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74</v>
      </c>
      <c r="AP499" s="1" t="s">
        <v>1125</v>
      </c>
      <c r="AQ499" s="1" t="s">
        <v>74</v>
      </c>
      <c r="AR499" s="1" t="s">
        <v>74</v>
      </c>
      <c r="AS499" s="1" t="s">
        <v>74</v>
      </c>
      <c r="AT499" s="1" t="s">
        <v>5197</v>
      </c>
      <c r="AU499" s="1">
        <v>2022.0</v>
      </c>
      <c r="AV499" s="1">
        <v>13.0</v>
      </c>
      <c r="AW499" s="1" t="s">
        <v>74</v>
      </c>
      <c r="AX499" s="1" t="s">
        <v>74</v>
      </c>
      <c r="AY499" s="1" t="s">
        <v>74</v>
      </c>
      <c r="AZ499" s="1" t="s">
        <v>74</v>
      </c>
      <c r="BA499" s="1" t="s">
        <v>74</v>
      </c>
      <c r="BB499" s="1" t="s">
        <v>74</v>
      </c>
      <c r="BC499" s="1" t="s">
        <v>74</v>
      </c>
      <c r="BD499" s="1">
        <v>830229.0</v>
      </c>
      <c r="BE499" s="1" t="s">
        <v>5198</v>
      </c>
      <c r="BF499" s="2" t="str">
        <f>HYPERLINK("http://dx.doi.org/10.3389/fphys.2022.830229","http://dx.doi.org/10.3389/fphys.2022.830229")</f>
        <v>http://dx.doi.org/10.3389/fphys.2022.830229</v>
      </c>
      <c r="BG499" s="1" t="s">
        <v>74</v>
      </c>
      <c r="BH499" s="1" t="s">
        <v>74</v>
      </c>
      <c r="BI499" s="1" t="s">
        <v>74</v>
      </c>
      <c r="BJ499" s="1" t="s">
        <v>74</v>
      </c>
      <c r="BK499" s="1" t="s">
        <v>74</v>
      </c>
      <c r="BL499" s="1" t="s">
        <v>74</v>
      </c>
      <c r="BM499" s="1" t="s">
        <v>74</v>
      </c>
      <c r="BN499" s="1">
        <v>3.5492609E7</v>
      </c>
      <c r="BO499" s="1" t="s">
        <v>74</v>
      </c>
      <c r="BP499" s="1" t="s">
        <v>74</v>
      </c>
      <c r="BQ499" s="1" t="s">
        <v>74</v>
      </c>
      <c r="BR499" s="1" t="s">
        <v>74</v>
      </c>
      <c r="BS499" s="1" t="s">
        <v>5199</v>
      </c>
      <c r="BT499" s="1" t="str">
        <f>HYPERLINK("https%3A%2F%2Fwww.webofscience.com%2Fwos%2Fwoscc%2Ffull-record%2FWOS:000792608500001","View Full Record in Web of Science")</f>
        <v>View Full Record in Web of Science</v>
      </c>
    </row>
    <row r="500" ht="12.75" customHeight="1">
      <c r="A500" s="1" t="s">
        <v>72</v>
      </c>
      <c r="B500" s="1" t="s">
        <v>5200</v>
      </c>
      <c r="C500" s="1" t="s">
        <v>74</v>
      </c>
      <c r="D500" s="1" t="s">
        <v>74</v>
      </c>
      <c r="E500" s="1" t="s">
        <v>74</v>
      </c>
      <c r="F500" s="1" t="s">
        <v>5201</v>
      </c>
      <c r="G500" s="1" t="s">
        <v>74</v>
      </c>
      <c r="H500" s="1" t="s">
        <v>74</v>
      </c>
      <c r="I500" s="1" t="s">
        <v>5202</v>
      </c>
      <c r="J500" s="1" t="s">
        <v>1057</v>
      </c>
      <c r="K500" s="1" t="s">
        <v>74</v>
      </c>
      <c r="L500" s="1" t="s">
        <v>74</v>
      </c>
      <c r="M500" s="1" t="s">
        <v>74</v>
      </c>
      <c r="N500" s="1" t="s">
        <v>74</v>
      </c>
      <c r="O500" s="1" t="s">
        <v>74</v>
      </c>
      <c r="P500" s="1" t="s">
        <v>74</v>
      </c>
      <c r="Q500" s="1" t="s">
        <v>74</v>
      </c>
      <c r="R500" s="1" t="s">
        <v>74</v>
      </c>
      <c r="S500" s="1" t="s">
        <v>74</v>
      </c>
      <c r="T500" s="1" t="s">
        <v>74</v>
      </c>
      <c r="U500" s="1" t="s">
        <v>74</v>
      </c>
      <c r="V500" s="1" t="s">
        <v>5203</v>
      </c>
      <c r="W500" s="1" t="s">
        <v>74</v>
      </c>
      <c r="X500" s="1" t="s">
        <v>74</v>
      </c>
      <c r="Y500" s="1" t="s">
        <v>74</v>
      </c>
      <c r="Z500" s="1" t="s">
        <v>74</v>
      </c>
      <c r="AA500" s="1" t="s">
        <v>5204</v>
      </c>
      <c r="AB500" s="1" t="s">
        <v>5205</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74</v>
      </c>
      <c r="AP500" s="1" t="s">
        <v>1061</v>
      </c>
      <c r="AQ500" s="1" t="s">
        <v>74</v>
      </c>
      <c r="AR500" s="1" t="s">
        <v>74</v>
      </c>
      <c r="AS500" s="1" t="s">
        <v>74</v>
      </c>
      <c r="AT500" s="1" t="s">
        <v>106</v>
      </c>
      <c r="AU500" s="1">
        <v>2021.0</v>
      </c>
      <c r="AV500" s="1">
        <v>18.0</v>
      </c>
      <c r="AW500" s="1">
        <v>22.0</v>
      </c>
      <c r="AX500" s="1" t="s">
        <v>74</v>
      </c>
      <c r="AY500" s="1" t="s">
        <v>74</v>
      </c>
      <c r="AZ500" s="1" t="s">
        <v>74</v>
      </c>
      <c r="BA500" s="1" t="s">
        <v>74</v>
      </c>
      <c r="BB500" s="1" t="s">
        <v>74</v>
      </c>
      <c r="BC500" s="1" t="s">
        <v>74</v>
      </c>
      <c r="BD500" s="1">
        <v>12000.0</v>
      </c>
      <c r="BE500" s="1" t="s">
        <v>5206</v>
      </c>
      <c r="BF500" s="2" t="str">
        <f>HYPERLINK("http://dx.doi.org/10.3390/ijerph182212000","http://dx.doi.org/10.3390/ijerph182212000")</f>
        <v>http://dx.doi.org/10.3390/ijerph182212000</v>
      </c>
      <c r="BG500" s="1" t="s">
        <v>74</v>
      </c>
      <c r="BH500" s="1" t="s">
        <v>74</v>
      </c>
      <c r="BI500" s="1" t="s">
        <v>74</v>
      </c>
      <c r="BJ500" s="1" t="s">
        <v>74</v>
      </c>
      <c r="BK500" s="1" t="s">
        <v>74</v>
      </c>
      <c r="BL500" s="1" t="s">
        <v>74</v>
      </c>
      <c r="BM500" s="1" t="s">
        <v>74</v>
      </c>
      <c r="BN500" s="1">
        <v>3.4831756E7</v>
      </c>
      <c r="BO500" s="1" t="s">
        <v>74</v>
      </c>
      <c r="BP500" s="1" t="s">
        <v>74</v>
      </c>
      <c r="BQ500" s="1" t="s">
        <v>74</v>
      </c>
      <c r="BR500" s="1" t="s">
        <v>74</v>
      </c>
      <c r="BS500" s="1" t="s">
        <v>5207</v>
      </c>
      <c r="BT500" s="1" t="str">
        <f>HYPERLINK("https%3A%2F%2Fwww.webofscience.com%2Fwos%2Fwoscc%2Ffull-record%2FWOS:000728219700001","View Full Record in Web of Science")</f>
        <v>View Full Record in Web of Science</v>
      </c>
    </row>
    <row r="501" ht="12.75" customHeight="1">
      <c r="A501" s="1" t="s">
        <v>72</v>
      </c>
      <c r="B501" s="1" t="s">
        <v>5208</v>
      </c>
      <c r="C501" s="1" t="s">
        <v>74</v>
      </c>
      <c r="D501" s="1" t="s">
        <v>74</v>
      </c>
      <c r="E501" s="1" t="s">
        <v>74</v>
      </c>
      <c r="F501" s="1" t="s">
        <v>5209</v>
      </c>
      <c r="G501" s="1" t="s">
        <v>74</v>
      </c>
      <c r="H501" s="1" t="s">
        <v>74</v>
      </c>
      <c r="I501" s="1" t="s">
        <v>5210</v>
      </c>
      <c r="J501" s="1" t="s">
        <v>5211</v>
      </c>
      <c r="K501" s="1" t="s">
        <v>74</v>
      </c>
      <c r="L501" s="1" t="s">
        <v>74</v>
      </c>
      <c r="M501" s="1" t="s">
        <v>74</v>
      </c>
      <c r="N501" s="1" t="s">
        <v>74</v>
      </c>
      <c r="O501" s="1" t="s">
        <v>74</v>
      </c>
      <c r="P501" s="1" t="s">
        <v>74</v>
      </c>
      <c r="Q501" s="1" t="s">
        <v>74</v>
      </c>
      <c r="R501" s="1" t="s">
        <v>74</v>
      </c>
      <c r="S501" s="1" t="s">
        <v>74</v>
      </c>
      <c r="T501" s="1" t="s">
        <v>74</v>
      </c>
      <c r="U501" s="1" t="s">
        <v>74</v>
      </c>
      <c r="V501" s="1" t="s">
        <v>5212</v>
      </c>
      <c r="W501" s="1" t="s">
        <v>74</v>
      </c>
      <c r="X501" s="1" t="s">
        <v>74</v>
      </c>
      <c r="Y501" s="1" t="s">
        <v>74</v>
      </c>
      <c r="Z501" s="1" t="s">
        <v>74</v>
      </c>
      <c r="AA501" s="1" t="s">
        <v>74</v>
      </c>
      <c r="AB501" s="1" t="s">
        <v>74</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74</v>
      </c>
      <c r="AP501" s="1" t="s">
        <v>5213</v>
      </c>
      <c r="AQ501" s="1" t="s">
        <v>74</v>
      </c>
      <c r="AR501" s="1" t="s">
        <v>74</v>
      </c>
      <c r="AS501" s="1" t="s">
        <v>74</v>
      </c>
      <c r="AT501" s="1" t="s">
        <v>5214</v>
      </c>
      <c r="AU501" s="1">
        <v>2023.0</v>
      </c>
      <c r="AV501" s="1">
        <v>2.0</v>
      </c>
      <c r="AW501" s="1">
        <v>1.0</v>
      </c>
      <c r="AX501" s="1" t="s">
        <v>74</v>
      </c>
      <c r="AY501" s="1" t="s">
        <v>74</v>
      </c>
      <c r="AZ501" s="1" t="s">
        <v>74</v>
      </c>
      <c r="BA501" s="1" t="s">
        <v>74</v>
      </c>
      <c r="BB501" s="1" t="s">
        <v>74</v>
      </c>
      <c r="BC501" s="1" t="s">
        <v>74</v>
      </c>
      <c r="BD501" s="1">
        <v>20.0</v>
      </c>
      <c r="BE501" s="1" t="s">
        <v>5215</v>
      </c>
      <c r="BF501" s="2" t="str">
        <f>HYPERLINK("http://dx.doi.org/10.1038/s44172-023-00069-0","http://dx.doi.org/10.1038/s44172-023-00069-0")</f>
        <v>http://dx.doi.org/10.1038/s44172-023-00069-0</v>
      </c>
      <c r="BG501" s="1" t="s">
        <v>74</v>
      </c>
      <c r="BH501" s="1" t="s">
        <v>74</v>
      </c>
      <c r="BI501" s="1" t="s">
        <v>74</v>
      </c>
      <c r="BJ501" s="1" t="s">
        <v>74</v>
      </c>
      <c r="BK501" s="1" t="s">
        <v>74</v>
      </c>
      <c r="BL501" s="1" t="s">
        <v>74</v>
      </c>
      <c r="BM501" s="1" t="s">
        <v>74</v>
      </c>
      <c r="BN501" s="1" t="s">
        <v>74</v>
      </c>
      <c r="BO501" s="1" t="s">
        <v>74</v>
      </c>
      <c r="BP501" s="1" t="s">
        <v>74</v>
      </c>
      <c r="BQ501" s="1" t="s">
        <v>74</v>
      </c>
      <c r="BR501" s="1" t="s">
        <v>74</v>
      </c>
      <c r="BS501" s="1" t="s">
        <v>5216</v>
      </c>
      <c r="BT501" s="1" t="str">
        <f>HYPERLINK("https%3A%2F%2Fwww.webofscience.com%2Fwos%2Fwoscc%2Ffull-record%2FWOS:001478240800001","View Full Record in Web of Science")</f>
        <v>View Full Record in Web of Science</v>
      </c>
    </row>
    <row r="502" ht="12.75" customHeight="1">
      <c r="A502" s="1" t="s">
        <v>72</v>
      </c>
      <c r="B502" s="1" t="s">
        <v>5217</v>
      </c>
      <c r="C502" s="1" t="s">
        <v>74</v>
      </c>
      <c r="D502" s="1" t="s">
        <v>74</v>
      </c>
      <c r="E502" s="1" t="s">
        <v>74</v>
      </c>
      <c r="F502" s="1" t="s">
        <v>5218</v>
      </c>
      <c r="G502" s="1" t="s">
        <v>74</v>
      </c>
      <c r="H502" s="1" t="s">
        <v>74</v>
      </c>
      <c r="I502" s="1" t="s">
        <v>5219</v>
      </c>
      <c r="J502" s="1" t="s">
        <v>739</v>
      </c>
      <c r="K502" s="1" t="s">
        <v>74</v>
      </c>
      <c r="L502" s="1" t="s">
        <v>74</v>
      </c>
      <c r="M502" s="1" t="s">
        <v>74</v>
      </c>
      <c r="N502" s="1" t="s">
        <v>74</v>
      </c>
      <c r="O502" s="1" t="s">
        <v>74</v>
      </c>
      <c r="P502" s="1" t="s">
        <v>74</v>
      </c>
      <c r="Q502" s="1" t="s">
        <v>74</v>
      </c>
      <c r="R502" s="1" t="s">
        <v>74</v>
      </c>
      <c r="S502" s="1" t="s">
        <v>74</v>
      </c>
      <c r="T502" s="1" t="s">
        <v>74</v>
      </c>
      <c r="U502" s="1" t="s">
        <v>74</v>
      </c>
      <c r="V502" s="1" t="s">
        <v>5220</v>
      </c>
      <c r="W502" s="1" t="s">
        <v>74</v>
      </c>
      <c r="X502" s="1" t="s">
        <v>74</v>
      </c>
      <c r="Y502" s="1" t="s">
        <v>74</v>
      </c>
      <c r="Z502" s="1" t="s">
        <v>74</v>
      </c>
      <c r="AA502" s="1" t="s">
        <v>5221</v>
      </c>
      <c r="AB502" s="1" t="s">
        <v>5222</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743</v>
      </c>
      <c r="AP502" s="1" t="s">
        <v>744</v>
      </c>
      <c r="AQ502" s="1" t="s">
        <v>74</v>
      </c>
      <c r="AR502" s="1" t="s">
        <v>74</v>
      </c>
      <c r="AS502" s="1" t="s">
        <v>74</v>
      </c>
      <c r="AT502" s="1" t="s">
        <v>5223</v>
      </c>
      <c r="AU502" s="1">
        <v>2022.0</v>
      </c>
      <c r="AV502" s="1">
        <v>106.0</v>
      </c>
      <c r="AW502" s="1">
        <v>6.0</v>
      </c>
      <c r="AX502" s="1" t="s">
        <v>74</v>
      </c>
      <c r="AY502" s="1" t="s">
        <v>74</v>
      </c>
      <c r="AZ502" s="1" t="s">
        <v>74</v>
      </c>
      <c r="BA502" s="1" t="s">
        <v>74</v>
      </c>
      <c r="BB502" s="1" t="s">
        <v>74</v>
      </c>
      <c r="BC502" s="1" t="s">
        <v>74</v>
      </c>
      <c r="BD502" s="1">
        <v>64307.0</v>
      </c>
      <c r="BE502" s="1" t="s">
        <v>5224</v>
      </c>
      <c r="BF502" s="2" t="str">
        <f>HYPERLINK("http://dx.doi.org/10.1103/PhysRevB.106.064307","http://dx.doi.org/10.1103/PhysRevB.106.064307")</f>
        <v>http://dx.doi.org/10.1103/PhysRevB.106.064307</v>
      </c>
      <c r="BG502" s="1" t="s">
        <v>74</v>
      </c>
      <c r="BH502" s="1" t="s">
        <v>74</v>
      </c>
      <c r="BI502" s="1" t="s">
        <v>74</v>
      </c>
      <c r="BJ502" s="1" t="s">
        <v>74</v>
      </c>
      <c r="BK502" s="1" t="s">
        <v>74</v>
      </c>
      <c r="BL502" s="1" t="s">
        <v>74</v>
      </c>
      <c r="BM502" s="1" t="s">
        <v>74</v>
      </c>
      <c r="BN502" s="1" t="s">
        <v>74</v>
      </c>
      <c r="BO502" s="1" t="s">
        <v>74</v>
      </c>
      <c r="BP502" s="1" t="s">
        <v>74</v>
      </c>
      <c r="BQ502" s="1" t="s">
        <v>74</v>
      </c>
      <c r="BR502" s="1" t="s">
        <v>74</v>
      </c>
      <c r="BS502" s="1" t="s">
        <v>5225</v>
      </c>
      <c r="BT502" s="1" t="str">
        <f>HYPERLINK("https%3A%2F%2Fwww.webofscience.com%2Fwos%2Fwoscc%2Ffull-record%2FWOS:000861038600001","View Full Record in Web of Science")</f>
        <v>View Full Record in Web of Science</v>
      </c>
    </row>
    <row r="503" ht="12.75" customHeight="1">
      <c r="A503" s="1" t="s">
        <v>72</v>
      </c>
      <c r="B503" s="1" t="s">
        <v>5226</v>
      </c>
      <c r="C503" s="1" t="s">
        <v>74</v>
      </c>
      <c r="D503" s="1" t="s">
        <v>74</v>
      </c>
      <c r="E503" s="1" t="s">
        <v>74</v>
      </c>
      <c r="F503" s="1" t="s">
        <v>5227</v>
      </c>
      <c r="G503" s="1" t="s">
        <v>74</v>
      </c>
      <c r="H503" s="1" t="s">
        <v>74</v>
      </c>
      <c r="I503" s="1" t="s">
        <v>5228</v>
      </c>
      <c r="J503" s="1" t="s">
        <v>5229</v>
      </c>
      <c r="K503" s="1" t="s">
        <v>74</v>
      </c>
      <c r="L503" s="1" t="s">
        <v>74</v>
      </c>
      <c r="M503" s="1" t="s">
        <v>74</v>
      </c>
      <c r="N503" s="1" t="s">
        <v>74</v>
      </c>
      <c r="O503" s="1" t="s">
        <v>74</v>
      </c>
      <c r="P503" s="1" t="s">
        <v>74</v>
      </c>
      <c r="Q503" s="1" t="s">
        <v>74</v>
      </c>
      <c r="R503" s="1" t="s">
        <v>74</v>
      </c>
      <c r="S503" s="1" t="s">
        <v>74</v>
      </c>
      <c r="T503" s="1" t="s">
        <v>74</v>
      </c>
      <c r="U503" s="1" t="s">
        <v>74</v>
      </c>
      <c r="V503" s="1" t="s">
        <v>5230</v>
      </c>
      <c r="W503" s="1" t="s">
        <v>74</v>
      </c>
      <c r="X503" s="1" t="s">
        <v>74</v>
      </c>
      <c r="Y503" s="1" t="s">
        <v>74</v>
      </c>
      <c r="Z503" s="1" t="s">
        <v>74</v>
      </c>
      <c r="AA503" s="1" t="s">
        <v>5231</v>
      </c>
      <c r="AB503" s="1" t="s">
        <v>5232</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5233</v>
      </c>
      <c r="AP503" s="1" t="s">
        <v>74</v>
      </c>
      <c r="AQ503" s="1" t="s">
        <v>74</v>
      </c>
      <c r="AR503" s="1" t="s">
        <v>74</v>
      </c>
      <c r="AS503" s="1" t="s">
        <v>74</v>
      </c>
      <c r="AT503" s="1" t="s">
        <v>94</v>
      </c>
      <c r="AU503" s="1">
        <v>2008.0</v>
      </c>
      <c r="AV503" s="1">
        <v>129.0</v>
      </c>
      <c r="AW503" s="1">
        <v>12.0</v>
      </c>
      <c r="AX503" s="1" t="s">
        <v>74</v>
      </c>
      <c r="AY503" s="1" t="s">
        <v>74</v>
      </c>
      <c r="AZ503" s="1" t="s">
        <v>74</v>
      </c>
      <c r="BA503" s="1" t="s">
        <v>74</v>
      </c>
      <c r="BB503" s="1">
        <v>728.0</v>
      </c>
      <c r="BC503" s="1">
        <v>734.0</v>
      </c>
      <c r="BD503" s="1" t="s">
        <v>74</v>
      </c>
      <c r="BE503" s="1" t="s">
        <v>5234</v>
      </c>
      <c r="BF503" s="2" t="str">
        <f>HYPERLINK("http://dx.doi.org/10.1016/j.mad.2008.09.018","http://dx.doi.org/10.1016/j.mad.2008.09.018")</f>
        <v>http://dx.doi.org/10.1016/j.mad.2008.09.018</v>
      </c>
      <c r="BG503" s="1" t="s">
        <v>74</v>
      </c>
      <c r="BH503" s="1" t="s">
        <v>74</v>
      </c>
      <c r="BI503" s="1" t="s">
        <v>74</v>
      </c>
      <c r="BJ503" s="1" t="s">
        <v>74</v>
      </c>
      <c r="BK503" s="1" t="s">
        <v>74</v>
      </c>
      <c r="BL503" s="1" t="s">
        <v>74</v>
      </c>
      <c r="BM503" s="1" t="s">
        <v>74</v>
      </c>
      <c r="BN503" s="1">
        <v>1.8973771E7</v>
      </c>
      <c r="BO503" s="1" t="s">
        <v>74</v>
      </c>
      <c r="BP503" s="1" t="s">
        <v>74</v>
      </c>
      <c r="BQ503" s="1" t="s">
        <v>74</v>
      </c>
      <c r="BR503" s="1" t="s">
        <v>74</v>
      </c>
      <c r="BS503" s="1" t="s">
        <v>5235</v>
      </c>
      <c r="BT503" s="1" t="str">
        <f>HYPERLINK("https%3A%2F%2Fwww.webofscience.com%2Fwos%2Fwoscc%2Ffull-record%2FWOS:000262809200006","View Full Record in Web of Science")</f>
        <v>View Full Record in Web of Science</v>
      </c>
    </row>
    <row r="504" ht="12.75" customHeight="1">
      <c r="A504" s="1" t="s">
        <v>462</v>
      </c>
      <c r="B504" s="1" t="s">
        <v>5236</v>
      </c>
      <c r="C504" s="1" t="s">
        <v>74</v>
      </c>
      <c r="D504" s="1" t="s">
        <v>74</v>
      </c>
      <c r="E504" s="1" t="s">
        <v>5237</v>
      </c>
      <c r="F504" s="1" t="s">
        <v>5238</v>
      </c>
      <c r="G504" s="1" t="s">
        <v>74</v>
      </c>
      <c r="H504" s="1" t="s">
        <v>74</v>
      </c>
      <c r="I504" s="1" t="s">
        <v>5239</v>
      </c>
      <c r="J504" s="1" t="s">
        <v>5240</v>
      </c>
      <c r="K504" s="1" t="s">
        <v>5241</v>
      </c>
      <c r="L504" s="1" t="s">
        <v>74</v>
      </c>
      <c r="M504" s="1" t="s">
        <v>74</v>
      </c>
      <c r="N504" s="1" t="s">
        <v>74</v>
      </c>
      <c r="O504" s="1" t="s">
        <v>5242</v>
      </c>
      <c r="P504" s="1" t="s">
        <v>5243</v>
      </c>
      <c r="Q504" s="1" t="s">
        <v>5244</v>
      </c>
      <c r="R504" s="1" t="s">
        <v>74</v>
      </c>
      <c r="S504" s="1" t="s">
        <v>74</v>
      </c>
      <c r="T504" s="1" t="s">
        <v>74</v>
      </c>
      <c r="U504" s="1" t="s">
        <v>74</v>
      </c>
      <c r="V504" s="1" t="s">
        <v>5245</v>
      </c>
      <c r="W504" s="1" t="s">
        <v>74</v>
      </c>
      <c r="X504" s="1" t="s">
        <v>74</v>
      </c>
      <c r="Y504" s="1" t="s">
        <v>74</v>
      </c>
      <c r="Z504" s="1" t="s">
        <v>74</v>
      </c>
      <c r="AA504" s="1" t="s">
        <v>5246</v>
      </c>
      <c r="AB504" s="1" t="s">
        <v>5247</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5248</v>
      </c>
      <c r="AP504" s="1" t="s">
        <v>74</v>
      </c>
      <c r="AQ504" s="1" t="s">
        <v>74</v>
      </c>
      <c r="AR504" s="1" t="s">
        <v>74</v>
      </c>
      <c r="AS504" s="1" t="s">
        <v>74</v>
      </c>
      <c r="AT504" s="1" t="s">
        <v>74</v>
      </c>
      <c r="AU504" s="1">
        <v>2022.0</v>
      </c>
      <c r="AV504" s="1" t="s">
        <v>74</v>
      </c>
      <c r="AW504" s="1" t="s">
        <v>74</v>
      </c>
      <c r="AX504" s="1" t="s">
        <v>74</v>
      </c>
      <c r="AY504" s="1" t="s">
        <v>74</v>
      </c>
      <c r="AZ504" s="1" t="s">
        <v>74</v>
      </c>
      <c r="BA504" s="1" t="s">
        <v>74</v>
      </c>
      <c r="BB504" s="1">
        <v>2483.0</v>
      </c>
      <c r="BC504" s="1">
        <v>2487.0</v>
      </c>
      <c r="BD504" s="1" t="s">
        <v>74</v>
      </c>
      <c r="BE504" s="1" t="s">
        <v>5249</v>
      </c>
      <c r="BF504" s="2" t="str">
        <f>HYPERLINK("http://dx.doi.org/10.21437/Interspeech.2022-10883","http://dx.doi.org/10.21437/Interspeech.2022-10883")</f>
        <v>http://dx.doi.org/10.21437/Interspeech.2022-10883</v>
      </c>
      <c r="BG504" s="1" t="s">
        <v>74</v>
      </c>
      <c r="BH504" s="1" t="s">
        <v>74</v>
      </c>
      <c r="BI504" s="1" t="s">
        <v>74</v>
      </c>
      <c r="BJ504" s="1" t="s">
        <v>74</v>
      </c>
      <c r="BK504" s="1" t="s">
        <v>74</v>
      </c>
      <c r="BL504" s="1" t="s">
        <v>74</v>
      </c>
      <c r="BM504" s="1" t="s">
        <v>74</v>
      </c>
      <c r="BN504" s="1" t="s">
        <v>74</v>
      </c>
      <c r="BO504" s="1" t="s">
        <v>74</v>
      </c>
      <c r="BP504" s="1" t="s">
        <v>74</v>
      </c>
      <c r="BQ504" s="1" t="s">
        <v>74</v>
      </c>
      <c r="BR504" s="1" t="s">
        <v>74</v>
      </c>
      <c r="BS504" s="1" t="s">
        <v>5250</v>
      </c>
      <c r="BT504" s="1" t="str">
        <f>HYPERLINK("https%3A%2F%2Fwww.webofscience.com%2Fwos%2Fwoscc%2Ffull-record%2FWOS:000900724502132","View Full Record in Web of Science")</f>
        <v>View Full Record in Web of Science</v>
      </c>
    </row>
    <row r="505" ht="12.75" customHeight="1">
      <c r="A505" s="1" t="s">
        <v>72</v>
      </c>
      <c r="B505" s="1" t="s">
        <v>5251</v>
      </c>
      <c r="C505" s="1" t="s">
        <v>74</v>
      </c>
      <c r="D505" s="1" t="s">
        <v>74</v>
      </c>
      <c r="E505" s="1" t="s">
        <v>74</v>
      </c>
      <c r="F505" s="1" t="s">
        <v>5252</v>
      </c>
      <c r="G505" s="1" t="s">
        <v>74</v>
      </c>
      <c r="H505" s="1" t="s">
        <v>74</v>
      </c>
      <c r="I505" s="1" t="s">
        <v>5253</v>
      </c>
      <c r="J505" s="1" t="s">
        <v>1003</v>
      </c>
      <c r="K505" s="1" t="s">
        <v>74</v>
      </c>
      <c r="L505" s="1" t="s">
        <v>74</v>
      </c>
      <c r="M505" s="1" t="s">
        <v>74</v>
      </c>
      <c r="N505" s="1" t="s">
        <v>74</v>
      </c>
      <c r="O505" s="1" t="s">
        <v>74</v>
      </c>
      <c r="P505" s="1" t="s">
        <v>74</v>
      </c>
      <c r="Q505" s="1" t="s">
        <v>74</v>
      </c>
      <c r="R505" s="1" t="s">
        <v>74</v>
      </c>
      <c r="S505" s="1" t="s">
        <v>74</v>
      </c>
      <c r="T505" s="1" t="s">
        <v>74</v>
      </c>
      <c r="U505" s="1" t="s">
        <v>74</v>
      </c>
      <c r="V505" s="1" t="s">
        <v>74</v>
      </c>
      <c r="W505" s="1" t="s">
        <v>74</v>
      </c>
      <c r="X505" s="1" t="s">
        <v>74</v>
      </c>
      <c r="Y505" s="1" t="s">
        <v>74</v>
      </c>
      <c r="Z505" s="1" t="s">
        <v>74</v>
      </c>
      <c r="AA505" s="1" t="s">
        <v>5254</v>
      </c>
      <c r="AB505" s="1" t="s">
        <v>74</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1006</v>
      </c>
      <c r="AP505" s="1" t="s">
        <v>1007</v>
      </c>
      <c r="AQ505" s="1" t="s">
        <v>74</v>
      </c>
      <c r="AR505" s="1" t="s">
        <v>74</v>
      </c>
      <c r="AS505" s="1" t="s">
        <v>74</v>
      </c>
      <c r="AT505" s="1" t="s">
        <v>447</v>
      </c>
      <c r="AU505" s="1">
        <v>2018.0</v>
      </c>
      <c r="AV505" s="1">
        <v>146.0</v>
      </c>
      <c r="AW505" s="1">
        <v>8.0</v>
      </c>
      <c r="AX505" s="1" t="s">
        <v>74</v>
      </c>
      <c r="AY505" s="1" t="s">
        <v>74</v>
      </c>
      <c r="AZ505" s="1" t="s">
        <v>74</v>
      </c>
      <c r="BA505" s="1" t="s">
        <v>74</v>
      </c>
      <c r="BB505" s="1">
        <v>951.0</v>
      </c>
      <c r="BC505" s="1">
        <v>952.0</v>
      </c>
      <c r="BD505" s="1" t="s">
        <v>74</v>
      </c>
      <c r="BE505" s="1" t="s">
        <v>74</v>
      </c>
      <c r="BF505" s="1" t="s">
        <v>74</v>
      </c>
      <c r="BG505" s="1" t="s">
        <v>74</v>
      </c>
      <c r="BH505" s="1" t="s">
        <v>74</v>
      </c>
      <c r="BI505" s="1" t="s">
        <v>74</v>
      </c>
      <c r="BJ505" s="1" t="s">
        <v>74</v>
      </c>
      <c r="BK505" s="1" t="s">
        <v>74</v>
      </c>
      <c r="BL505" s="1" t="s">
        <v>74</v>
      </c>
      <c r="BM505" s="1" t="s">
        <v>74</v>
      </c>
      <c r="BN505" s="1" t="s">
        <v>74</v>
      </c>
      <c r="BO505" s="1" t="s">
        <v>74</v>
      </c>
      <c r="BP505" s="1" t="s">
        <v>74</v>
      </c>
      <c r="BQ505" s="1" t="s">
        <v>74</v>
      </c>
      <c r="BR505" s="1" t="s">
        <v>74</v>
      </c>
      <c r="BS505" s="1" t="s">
        <v>5255</v>
      </c>
      <c r="BT505" s="1" t="str">
        <f>HYPERLINK("https%3A%2F%2Fwww.webofscience.com%2Fwos%2Fwoscc%2Ffull-record%2FWOS:000447908500022","View Full Record in Web of Science")</f>
        <v>View Full Record in Web of Science</v>
      </c>
    </row>
    <row r="506" ht="12.75" customHeight="1">
      <c r="A506" s="1" t="s">
        <v>72</v>
      </c>
      <c r="B506" s="1" t="s">
        <v>5256</v>
      </c>
      <c r="C506" s="1" t="s">
        <v>74</v>
      </c>
      <c r="D506" s="1" t="s">
        <v>74</v>
      </c>
      <c r="E506" s="1" t="s">
        <v>74</v>
      </c>
      <c r="F506" s="1" t="s">
        <v>5257</v>
      </c>
      <c r="G506" s="1" t="s">
        <v>74</v>
      </c>
      <c r="H506" s="1" t="s">
        <v>74</v>
      </c>
      <c r="I506" s="1" t="s">
        <v>5258</v>
      </c>
      <c r="J506" s="1" t="s">
        <v>739</v>
      </c>
      <c r="K506" s="1" t="s">
        <v>74</v>
      </c>
      <c r="L506" s="1" t="s">
        <v>74</v>
      </c>
      <c r="M506" s="1" t="s">
        <v>74</v>
      </c>
      <c r="N506" s="1" t="s">
        <v>74</v>
      </c>
      <c r="O506" s="1" t="s">
        <v>74</v>
      </c>
      <c r="P506" s="1" t="s">
        <v>74</v>
      </c>
      <c r="Q506" s="1" t="s">
        <v>74</v>
      </c>
      <c r="R506" s="1" t="s">
        <v>74</v>
      </c>
      <c r="S506" s="1" t="s">
        <v>74</v>
      </c>
      <c r="T506" s="1" t="s">
        <v>74</v>
      </c>
      <c r="U506" s="1" t="s">
        <v>74</v>
      </c>
      <c r="V506" s="1" t="s">
        <v>5259</v>
      </c>
      <c r="W506" s="1" t="s">
        <v>74</v>
      </c>
      <c r="X506" s="1" t="s">
        <v>74</v>
      </c>
      <c r="Y506" s="1" t="s">
        <v>74</v>
      </c>
      <c r="Z506" s="1" t="s">
        <v>74</v>
      </c>
      <c r="AA506" s="1" t="s">
        <v>5260</v>
      </c>
      <c r="AB506" s="1" t="s">
        <v>5261</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743</v>
      </c>
      <c r="AP506" s="1" t="s">
        <v>744</v>
      </c>
      <c r="AQ506" s="1" t="s">
        <v>74</v>
      </c>
      <c r="AR506" s="1" t="s">
        <v>74</v>
      </c>
      <c r="AS506" s="1" t="s">
        <v>74</v>
      </c>
      <c r="AT506" s="1" t="s">
        <v>5262</v>
      </c>
      <c r="AU506" s="1">
        <v>2017.0</v>
      </c>
      <c r="AV506" s="1">
        <v>95.0</v>
      </c>
      <c r="AW506" s="1">
        <v>9.0</v>
      </c>
      <c r="AX506" s="1" t="s">
        <v>74</v>
      </c>
      <c r="AY506" s="1" t="s">
        <v>74</v>
      </c>
      <c r="AZ506" s="1" t="s">
        <v>74</v>
      </c>
      <c r="BA506" s="1" t="s">
        <v>74</v>
      </c>
      <c r="BB506" s="1" t="s">
        <v>74</v>
      </c>
      <c r="BC506" s="1" t="s">
        <v>74</v>
      </c>
      <c r="BD506" s="1">
        <v>94430.0</v>
      </c>
      <c r="BE506" s="1" t="s">
        <v>5263</v>
      </c>
      <c r="BF506" s="2" t="str">
        <f>HYPERLINK("http://dx.doi.org/10.1103/PhysRevB.95.094430","http://dx.doi.org/10.1103/PhysRevB.95.094430")</f>
        <v>http://dx.doi.org/10.1103/PhysRevB.95.094430</v>
      </c>
      <c r="BG506" s="1" t="s">
        <v>74</v>
      </c>
      <c r="BH506" s="1" t="s">
        <v>74</v>
      </c>
      <c r="BI506" s="1" t="s">
        <v>74</v>
      </c>
      <c r="BJ506" s="1" t="s">
        <v>74</v>
      </c>
      <c r="BK506" s="1" t="s">
        <v>74</v>
      </c>
      <c r="BL506" s="1" t="s">
        <v>74</v>
      </c>
      <c r="BM506" s="1" t="s">
        <v>74</v>
      </c>
      <c r="BN506" s="1" t="s">
        <v>74</v>
      </c>
      <c r="BO506" s="1" t="s">
        <v>74</v>
      </c>
      <c r="BP506" s="1" t="s">
        <v>74</v>
      </c>
      <c r="BQ506" s="1" t="s">
        <v>74</v>
      </c>
      <c r="BR506" s="1" t="s">
        <v>74</v>
      </c>
      <c r="BS506" s="1" t="s">
        <v>5264</v>
      </c>
      <c r="BT506" s="1" t="str">
        <f>HYPERLINK("https%3A%2F%2Fwww.webofscience.com%2Fwos%2Fwoscc%2Ffull-record%2FWOS:000399139600001","View Full Record in Web of Science")</f>
        <v>View Full Record in Web of Science</v>
      </c>
    </row>
    <row r="507" ht="12.75" customHeight="1">
      <c r="A507" s="1" t="s">
        <v>72</v>
      </c>
      <c r="B507" s="1" t="s">
        <v>5265</v>
      </c>
      <c r="C507" s="1" t="s">
        <v>74</v>
      </c>
      <c r="D507" s="1" t="s">
        <v>74</v>
      </c>
      <c r="E507" s="1" t="s">
        <v>74</v>
      </c>
      <c r="F507" s="1" t="s">
        <v>5266</v>
      </c>
      <c r="G507" s="1" t="s">
        <v>74</v>
      </c>
      <c r="H507" s="1" t="s">
        <v>74</v>
      </c>
      <c r="I507" s="1" t="s">
        <v>5267</v>
      </c>
      <c r="J507" s="1" t="s">
        <v>5268</v>
      </c>
      <c r="K507" s="1" t="s">
        <v>74</v>
      </c>
      <c r="L507" s="1" t="s">
        <v>74</v>
      </c>
      <c r="M507" s="1" t="s">
        <v>74</v>
      </c>
      <c r="N507" s="1" t="s">
        <v>74</v>
      </c>
      <c r="O507" s="1" t="s">
        <v>74</v>
      </c>
      <c r="P507" s="1" t="s">
        <v>74</v>
      </c>
      <c r="Q507" s="1" t="s">
        <v>74</v>
      </c>
      <c r="R507" s="1" t="s">
        <v>74</v>
      </c>
      <c r="S507" s="1" t="s">
        <v>74</v>
      </c>
      <c r="T507" s="1" t="s">
        <v>74</v>
      </c>
      <c r="U507" s="1" t="s">
        <v>74</v>
      </c>
      <c r="V507" s="1" t="s">
        <v>5269</v>
      </c>
      <c r="W507" s="1" t="s">
        <v>74</v>
      </c>
      <c r="X507" s="1" t="s">
        <v>74</v>
      </c>
      <c r="Y507" s="1" t="s">
        <v>74</v>
      </c>
      <c r="Z507" s="1" t="s">
        <v>74</v>
      </c>
      <c r="AA507" s="1" t="s">
        <v>5270</v>
      </c>
      <c r="AB507" s="1" t="s">
        <v>5271</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5272</v>
      </c>
      <c r="AP507" s="1" t="s">
        <v>74</v>
      </c>
      <c r="AQ507" s="1" t="s">
        <v>74</v>
      </c>
      <c r="AR507" s="1" t="s">
        <v>74</v>
      </c>
      <c r="AS507" s="1" t="s">
        <v>74</v>
      </c>
      <c r="AT507" s="1" t="s">
        <v>239</v>
      </c>
      <c r="AU507" s="1">
        <v>2015.0</v>
      </c>
      <c r="AV507" s="1">
        <v>10.0</v>
      </c>
      <c r="AW507" s="1">
        <v>5.0</v>
      </c>
      <c r="AX507" s="1" t="s">
        <v>74</v>
      </c>
      <c r="AY507" s="1" t="s">
        <v>74</v>
      </c>
      <c r="AZ507" s="1" t="s">
        <v>74</v>
      </c>
      <c r="BA507" s="1" t="s">
        <v>74</v>
      </c>
      <c r="BB507" s="1">
        <v>3949.0</v>
      </c>
      <c r="BC507" s="1">
        <v>3960.0</v>
      </c>
      <c r="BD507" s="1" t="s">
        <v>74</v>
      </c>
      <c r="BE507" s="1" t="s">
        <v>74</v>
      </c>
      <c r="BF507" s="1" t="s">
        <v>74</v>
      </c>
      <c r="BG507" s="1" t="s">
        <v>74</v>
      </c>
      <c r="BH507" s="1" t="s">
        <v>74</v>
      </c>
      <c r="BI507" s="1" t="s">
        <v>74</v>
      </c>
      <c r="BJ507" s="1" t="s">
        <v>74</v>
      </c>
      <c r="BK507" s="1" t="s">
        <v>74</v>
      </c>
      <c r="BL507" s="1" t="s">
        <v>74</v>
      </c>
      <c r="BM507" s="1" t="s">
        <v>74</v>
      </c>
      <c r="BN507" s="1" t="s">
        <v>74</v>
      </c>
      <c r="BO507" s="1" t="s">
        <v>74</v>
      </c>
      <c r="BP507" s="1" t="s">
        <v>74</v>
      </c>
      <c r="BQ507" s="1" t="s">
        <v>74</v>
      </c>
      <c r="BR507" s="1" t="s">
        <v>74</v>
      </c>
      <c r="BS507" s="1" t="s">
        <v>5273</v>
      </c>
      <c r="BT507" s="1" t="str">
        <f>HYPERLINK("https%3A%2F%2Fwww.webofscience.com%2Fwos%2Fwoscc%2Ffull-record%2FWOS:000354782200022","View Full Record in Web of Science")</f>
        <v>View Full Record in Web of Science</v>
      </c>
    </row>
    <row r="508" ht="12.75" customHeight="1">
      <c r="A508" s="1" t="s">
        <v>72</v>
      </c>
      <c r="B508" s="1" t="s">
        <v>5274</v>
      </c>
      <c r="C508" s="1" t="s">
        <v>74</v>
      </c>
      <c r="D508" s="1" t="s">
        <v>74</v>
      </c>
      <c r="E508" s="1" t="s">
        <v>74</v>
      </c>
      <c r="F508" s="1" t="s">
        <v>5274</v>
      </c>
      <c r="G508" s="1" t="s">
        <v>74</v>
      </c>
      <c r="H508" s="1" t="s">
        <v>74</v>
      </c>
      <c r="I508" s="1" t="s">
        <v>5275</v>
      </c>
      <c r="J508" s="1" t="s">
        <v>5276</v>
      </c>
      <c r="K508" s="1" t="s">
        <v>74</v>
      </c>
      <c r="L508" s="1" t="s">
        <v>74</v>
      </c>
      <c r="M508" s="1" t="s">
        <v>74</v>
      </c>
      <c r="N508" s="1" t="s">
        <v>74</v>
      </c>
      <c r="O508" s="1" t="s">
        <v>74</v>
      </c>
      <c r="P508" s="1" t="s">
        <v>74</v>
      </c>
      <c r="Q508" s="1" t="s">
        <v>74</v>
      </c>
      <c r="R508" s="1" t="s">
        <v>74</v>
      </c>
      <c r="S508" s="1" t="s">
        <v>74</v>
      </c>
      <c r="T508" s="1" t="s">
        <v>74</v>
      </c>
      <c r="U508" s="1" t="s">
        <v>74</v>
      </c>
      <c r="V508" s="1" t="s">
        <v>5277</v>
      </c>
      <c r="W508" s="1" t="s">
        <v>74</v>
      </c>
      <c r="X508" s="1" t="s">
        <v>74</v>
      </c>
      <c r="Y508" s="1" t="s">
        <v>74</v>
      </c>
      <c r="Z508" s="1" t="s">
        <v>74</v>
      </c>
      <c r="AA508" s="1" t="s">
        <v>5278</v>
      </c>
      <c r="AB508" s="1" t="s">
        <v>5279</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5280</v>
      </c>
      <c r="AP508" s="1" t="s">
        <v>5281</v>
      </c>
      <c r="AQ508" s="1" t="s">
        <v>74</v>
      </c>
      <c r="AR508" s="1" t="s">
        <v>74</v>
      </c>
      <c r="AS508" s="1" t="s">
        <v>74</v>
      </c>
      <c r="AT508" s="1" t="s">
        <v>392</v>
      </c>
      <c r="AU508" s="1">
        <v>2005.0</v>
      </c>
      <c r="AV508" s="1">
        <v>28.0</v>
      </c>
      <c r="AW508" s="1">
        <v>4.0</v>
      </c>
      <c r="AX508" s="1" t="s">
        <v>74</v>
      </c>
      <c r="AY508" s="1" t="s">
        <v>74</v>
      </c>
      <c r="AZ508" s="1" t="s">
        <v>74</v>
      </c>
      <c r="BA508" s="1" t="s">
        <v>74</v>
      </c>
      <c r="BB508" s="1">
        <v>747.0</v>
      </c>
      <c r="BC508" s="1">
        <v>756.0</v>
      </c>
      <c r="BD508" s="1" t="s">
        <v>74</v>
      </c>
      <c r="BE508" s="1" t="s">
        <v>5282</v>
      </c>
      <c r="BF508" s="2" t="str">
        <f>HYPERLINK("http://dx.doi.org/10.1016/j.mcn.2004.12.006","http://dx.doi.org/10.1016/j.mcn.2004.12.006")</f>
        <v>http://dx.doi.org/10.1016/j.mcn.2004.12.006</v>
      </c>
      <c r="BG508" s="1" t="s">
        <v>74</v>
      </c>
      <c r="BH508" s="1" t="s">
        <v>74</v>
      </c>
      <c r="BI508" s="1" t="s">
        <v>74</v>
      </c>
      <c r="BJ508" s="1" t="s">
        <v>74</v>
      </c>
      <c r="BK508" s="1" t="s">
        <v>74</v>
      </c>
      <c r="BL508" s="1" t="s">
        <v>74</v>
      </c>
      <c r="BM508" s="1" t="s">
        <v>74</v>
      </c>
      <c r="BN508" s="1">
        <v>1.5797721E7</v>
      </c>
      <c r="BO508" s="1" t="s">
        <v>74</v>
      </c>
      <c r="BP508" s="1" t="s">
        <v>74</v>
      </c>
      <c r="BQ508" s="1" t="s">
        <v>74</v>
      </c>
      <c r="BR508" s="1" t="s">
        <v>74</v>
      </c>
      <c r="BS508" s="1" t="s">
        <v>5283</v>
      </c>
      <c r="BT508" s="1" t="str">
        <f>HYPERLINK("https%3A%2F%2Fwww.webofscience.com%2Fwos%2Fwoscc%2Ffull-record%2FWOS:000228352200014","View Full Record in Web of Science")</f>
        <v>View Full Record in Web of Science</v>
      </c>
    </row>
    <row r="509" ht="12.75" customHeight="1">
      <c r="A509" s="1" t="s">
        <v>72</v>
      </c>
      <c r="B509" s="1" t="s">
        <v>5284</v>
      </c>
      <c r="C509" s="1" t="s">
        <v>74</v>
      </c>
      <c r="D509" s="1" t="s">
        <v>74</v>
      </c>
      <c r="E509" s="1" t="s">
        <v>74</v>
      </c>
      <c r="F509" s="1" t="s">
        <v>5285</v>
      </c>
      <c r="G509" s="1" t="s">
        <v>74</v>
      </c>
      <c r="H509" s="1" t="s">
        <v>74</v>
      </c>
      <c r="I509" s="1" t="s">
        <v>5286</v>
      </c>
      <c r="J509" s="1" t="s">
        <v>5287</v>
      </c>
      <c r="K509" s="1" t="s">
        <v>74</v>
      </c>
      <c r="L509" s="1" t="s">
        <v>74</v>
      </c>
      <c r="M509" s="1" t="s">
        <v>74</v>
      </c>
      <c r="N509" s="1" t="s">
        <v>74</v>
      </c>
      <c r="O509" s="1" t="s">
        <v>74</v>
      </c>
      <c r="P509" s="1" t="s">
        <v>74</v>
      </c>
      <c r="Q509" s="1" t="s">
        <v>74</v>
      </c>
      <c r="R509" s="1" t="s">
        <v>74</v>
      </c>
      <c r="S509" s="1" t="s">
        <v>74</v>
      </c>
      <c r="T509" s="1" t="s">
        <v>74</v>
      </c>
      <c r="U509" s="1" t="s">
        <v>74</v>
      </c>
      <c r="V509" s="1" t="s">
        <v>5288</v>
      </c>
      <c r="W509" s="1" t="s">
        <v>74</v>
      </c>
      <c r="X509" s="1" t="s">
        <v>74</v>
      </c>
      <c r="Y509" s="1" t="s">
        <v>74</v>
      </c>
      <c r="Z509" s="1" t="s">
        <v>74</v>
      </c>
      <c r="AA509" s="1" t="s">
        <v>5289</v>
      </c>
      <c r="AB509" s="1" t="s">
        <v>5290</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5291</v>
      </c>
      <c r="AP509" s="1" t="s">
        <v>5292</v>
      </c>
      <c r="AQ509" s="1" t="s">
        <v>74</v>
      </c>
      <c r="AR509" s="1" t="s">
        <v>74</v>
      </c>
      <c r="AS509" s="1" t="s">
        <v>74</v>
      </c>
      <c r="AT509" s="1" t="s">
        <v>392</v>
      </c>
      <c r="AU509" s="1">
        <v>2025.0</v>
      </c>
      <c r="AV509" s="1">
        <v>69.0</v>
      </c>
      <c r="AW509" s="1">
        <v>2.0</v>
      </c>
      <c r="AX509" s="1" t="s">
        <v>74</v>
      </c>
      <c r="AY509" s="1" t="s">
        <v>74</v>
      </c>
      <c r="AZ509" s="1" t="s">
        <v>448</v>
      </c>
      <c r="BA509" s="1" t="s">
        <v>74</v>
      </c>
      <c r="BB509" s="1">
        <v>109.0</v>
      </c>
      <c r="BC509" s="1">
        <v>129.0</v>
      </c>
      <c r="BD509" s="1" t="s">
        <v>74</v>
      </c>
      <c r="BE509" s="1" t="s">
        <v>5293</v>
      </c>
      <c r="BF509" s="2" t="str">
        <f>HYPERLINK("http://dx.doi.org/10.1177/00169862241307668","http://dx.doi.org/10.1177/00169862241307668")</f>
        <v>http://dx.doi.org/10.1177/00169862241307668</v>
      </c>
      <c r="BG509" s="1" t="s">
        <v>74</v>
      </c>
      <c r="BH509" s="1" t="s">
        <v>2726</v>
      </c>
      <c r="BI509" s="1" t="s">
        <v>74</v>
      </c>
      <c r="BJ509" s="1" t="s">
        <v>74</v>
      </c>
      <c r="BK509" s="1" t="s">
        <v>74</v>
      </c>
      <c r="BL509" s="1" t="s">
        <v>74</v>
      </c>
      <c r="BM509" s="1" t="s">
        <v>74</v>
      </c>
      <c r="BN509" s="1" t="s">
        <v>74</v>
      </c>
      <c r="BO509" s="1" t="s">
        <v>74</v>
      </c>
      <c r="BP509" s="1" t="s">
        <v>74</v>
      </c>
      <c r="BQ509" s="1" t="s">
        <v>74</v>
      </c>
      <c r="BR509" s="1" t="s">
        <v>74</v>
      </c>
      <c r="BS509" s="1" t="s">
        <v>5294</v>
      </c>
      <c r="BT509" s="1" t="str">
        <f>HYPERLINK("https%3A%2F%2Fwww.webofscience.com%2Fwos%2Fwoscc%2Ffull-record%2FWOS:001399241900001","View Full Record in Web of Science")</f>
        <v>View Full Record in Web of Science</v>
      </c>
    </row>
    <row r="510" ht="12.75" customHeight="1">
      <c r="A510" s="1" t="s">
        <v>72</v>
      </c>
      <c r="B510" s="1" t="s">
        <v>5295</v>
      </c>
      <c r="C510" s="1" t="s">
        <v>74</v>
      </c>
      <c r="D510" s="1" t="s">
        <v>74</v>
      </c>
      <c r="E510" s="1" t="s">
        <v>74</v>
      </c>
      <c r="F510" s="1" t="s">
        <v>5296</v>
      </c>
      <c r="G510" s="1" t="s">
        <v>74</v>
      </c>
      <c r="H510" s="1" t="s">
        <v>74</v>
      </c>
      <c r="I510" s="1" t="s">
        <v>5297</v>
      </c>
      <c r="J510" s="1" t="s">
        <v>4221</v>
      </c>
      <c r="K510" s="1" t="s">
        <v>74</v>
      </c>
      <c r="L510" s="1" t="s">
        <v>74</v>
      </c>
      <c r="M510" s="1" t="s">
        <v>74</v>
      </c>
      <c r="N510" s="1" t="s">
        <v>74</v>
      </c>
      <c r="O510" s="1" t="s">
        <v>74</v>
      </c>
      <c r="P510" s="1" t="s">
        <v>74</v>
      </c>
      <c r="Q510" s="1" t="s">
        <v>74</v>
      </c>
      <c r="R510" s="1" t="s">
        <v>74</v>
      </c>
      <c r="S510" s="1" t="s">
        <v>74</v>
      </c>
      <c r="T510" s="1" t="s">
        <v>74</v>
      </c>
      <c r="U510" s="1" t="s">
        <v>74</v>
      </c>
      <c r="V510" s="1" t="s">
        <v>5298</v>
      </c>
      <c r="W510" s="1" t="s">
        <v>74</v>
      </c>
      <c r="X510" s="1" t="s">
        <v>74</v>
      </c>
      <c r="Y510" s="1" t="s">
        <v>74</v>
      </c>
      <c r="Z510" s="1" t="s">
        <v>74</v>
      </c>
      <c r="AA510" s="1" t="s">
        <v>5299</v>
      </c>
      <c r="AB510" s="1" t="s">
        <v>5300</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4225</v>
      </c>
      <c r="AP510" s="1" t="s">
        <v>4226</v>
      </c>
      <c r="AQ510" s="1" t="s">
        <v>74</v>
      </c>
      <c r="AR510" s="1" t="s">
        <v>74</v>
      </c>
      <c r="AS510" s="1" t="s">
        <v>74</v>
      </c>
      <c r="AT510" s="1" t="s">
        <v>334</v>
      </c>
      <c r="AU510" s="1">
        <v>2024.0</v>
      </c>
      <c r="AV510" s="1">
        <v>151.0</v>
      </c>
      <c r="AW510" s="1" t="s">
        <v>74</v>
      </c>
      <c r="AX510" s="1" t="s">
        <v>74</v>
      </c>
      <c r="AY510" s="1" t="s">
        <v>74</v>
      </c>
      <c r="AZ510" s="1" t="s">
        <v>74</v>
      </c>
      <c r="BA510" s="1" t="s">
        <v>74</v>
      </c>
      <c r="BB510" s="1" t="s">
        <v>74</v>
      </c>
      <c r="BC510" s="1" t="s">
        <v>74</v>
      </c>
      <c r="BD510" s="1">
        <v>107669.0</v>
      </c>
      <c r="BE510" s="1" t="s">
        <v>5301</v>
      </c>
      <c r="BF510" s="2" t="str">
        <f>HYPERLINK("http://dx.doi.org/10.1016/j.bioorg.2024.107669","http://dx.doi.org/10.1016/j.bioorg.2024.107669")</f>
        <v>http://dx.doi.org/10.1016/j.bioorg.2024.107669</v>
      </c>
      <c r="BG510" s="1" t="s">
        <v>74</v>
      </c>
      <c r="BH510" s="1" t="s">
        <v>689</v>
      </c>
      <c r="BI510" s="1" t="s">
        <v>74</v>
      </c>
      <c r="BJ510" s="1" t="s">
        <v>74</v>
      </c>
      <c r="BK510" s="1" t="s">
        <v>74</v>
      </c>
      <c r="BL510" s="1" t="s">
        <v>74</v>
      </c>
      <c r="BM510" s="1" t="s">
        <v>74</v>
      </c>
      <c r="BN510" s="1">
        <v>3.9067421E7</v>
      </c>
      <c r="BO510" s="1" t="s">
        <v>74</v>
      </c>
      <c r="BP510" s="1" t="s">
        <v>74</v>
      </c>
      <c r="BQ510" s="1" t="s">
        <v>74</v>
      </c>
      <c r="BR510" s="1" t="s">
        <v>74</v>
      </c>
      <c r="BS510" s="1" t="s">
        <v>5302</v>
      </c>
      <c r="BT510" s="1" t="str">
        <f>HYPERLINK("https%3A%2F%2Fwww.webofscience.com%2Fwos%2Fwoscc%2Ffull-record%2FWOS:001281861500001","View Full Record in Web of Science")</f>
        <v>View Full Record in Web of Science</v>
      </c>
    </row>
    <row r="511" ht="12.75" customHeight="1">
      <c r="A511" s="1" t="s">
        <v>72</v>
      </c>
      <c r="B511" s="1" t="s">
        <v>5303</v>
      </c>
      <c r="C511" s="1" t="s">
        <v>74</v>
      </c>
      <c r="D511" s="1" t="s">
        <v>74</v>
      </c>
      <c r="E511" s="1" t="s">
        <v>74</v>
      </c>
      <c r="F511" s="1" t="s">
        <v>5304</v>
      </c>
      <c r="G511" s="1" t="s">
        <v>74</v>
      </c>
      <c r="H511" s="1" t="s">
        <v>74</v>
      </c>
      <c r="I511" s="1" t="s">
        <v>5305</v>
      </c>
      <c r="J511" s="1" t="s">
        <v>871</v>
      </c>
      <c r="K511" s="1" t="s">
        <v>74</v>
      </c>
      <c r="L511" s="1" t="s">
        <v>74</v>
      </c>
      <c r="M511" s="1" t="s">
        <v>74</v>
      </c>
      <c r="N511" s="1" t="s">
        <v>74</v>
      </c>
      <c r="O511" s="1" t="s">
        <v>74</v>
      </c>
      <c r="P511" s="1" t="s">
        <v>74</v>
      </c>
      <c r="Q511" s="1" t="s">
        <v>74</v>
      </c>
      <c r="R511" s="1" t="s">
        <v>74</v>
      </c>
      <c r="S511" s="1" t="s">
        <v>74</v>
      </c>
      <c r="T511" s="1" t="s">
        <v>74</v>
      </c>
      <c r="U511" s="1" t="s">
        <v>74</v>
      </c>
      <c r="V511" s="1" t="s">
        <v>5306</v>
      </c>
      <c r="W511" s="1" t="s">
        <v>74</v>
      </c>
      <c r="X511" s="1" t="s">
        <v>74</v>
      </c>
      <c r="Y511" s="1" t="s">
        <v>74</v>
      </c>
      <c r="Z511" s="1" t="s">
        <v>74</v>
      </c>
      <c r="AA511" s="1" t="s">
        <v>5307</v>
      </c>
      <c r="AB511" s="1" t="s">
        <v>5308</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74</v>
      </c>
      <c r="AP511" s="1" t="s">
        <v>875</v>
      </c>
      <c r="AQ511" s="1" t="s">
        <v>74</v>
      </c>
      <c r="AR511" s="1" t="s">
        <v>74</v>
      </c>
      <c r="AS511" s="1" t="s">
        <v>74</v>
      </c>
      <c r="AT511" s="1" t="s">
        <v>346</v>
      </c>
      <c r="AU511" s="1">
        <v>2023.0</v>
      </c>
      <c r="AV511" s="1">
        <v>16.0</v>
      </c>
      <c r="AW511" s="1">
        <v>6.0</v>
      </c>
      <c r="AX511" s="1" t="s">
        <v>74</v>
      </c>
      <c r="AY511" s="1" t="s">
        <v>74</v>
      </c>
      <c r="AZ511" s="1" t="s">
        <v>74</v>
      </c>
      <c r="BA511" s="1" t="s">
        <v>74</v>
      </c>
      <c r="BB511" s="1" t="s">
        <v>74</v>
      </c>
      <c r="BC511" s="1" t="s">
        <v>74</v>
      </c>
      <c r="BD511" s="1">
        <v>2327.0</v>
      </c>
      <c r="BE511" s="1" t="s">
        <v>5309</v>
      </c>
      <c r="BF511" s="2" t="str">
        <f>HYPERLINK("http://dx.doi.org/10.3390/ma16062327","http://dx.doi.org/10.3390/ma16062327")</f>
        <v>http://dx.doi.org/10.3390/ma16062327</v>
      </c>
      <c r="BG511" s="1" t="s">
        <v>74</v>
      </c>
      <c r="BH511" s="1" t="s">
        <v>74</v>
      </c>
      <c r="BI511" s="1" t="s">
        <v>74</v>
      </c>
      <c r="BJ511" s="1" t="s">
        <v>74</v>
      </c>
      <c r="BK511" s="1" t="s">
        <v>74</v>
      </c>
      <c r="BL511" s="1" t="s">
        <v>74</v>
      </c>
      <c r="BM511" s="1" t="s">
        <v>74</v>
      </c>
      <c r="BN511" s="1">
        <v>3.6984207E7</v>
      </c>
      <c r="BO511" s="1" t="s">
        <v>74</v>
      </c>
      <c r="BP511" s="1" t="s">
        <v>74</v>
      </c>
      <c r="BQ511" s="1" t="s">
        <v>74</v>
      </c>
      <c r="BR511" s="1" t="s">
        <v>74</v>
      </c>
      <c r="BS511" s="1" t="s">
        <v>5310</v>
      </c>
      <c r="BT511" s="1" t="str">
        <f>HYPERLINK("https%3A%2F%2Fwww.webofscience.com%2Fwos%2Fwoscc%2Ffull-record%2FWOS:000959937700001","View Full Record in Web of Science")</f>
        <v>View Full Record in Web of Science</v>
      </c>
    </row>
    <row r="512" ht="12.75" customHeight="1">
      <c r="A512" s="1" t="s">
        <v>72</v>
      </c>
      <c r="B512" s="1" t="s">
        <v>5311</v>
      </c>
      <c r="C512" s="1" t="s">
        <v>74</v>
      </c>
      <c r="D512" s="1" t="s">
        <v>74</v>
      </c>
      <c r="E512" s="1" t="s">
        <v>74</v>
      </c>
      <c r="F512" s="1" t="s">
        <v>5312</v>
      </c>
      <c r="G512" s="1" t="s">
        <v>74</v>
      </c>
      <c r="H512" s="1" t="s">
        <v>74</v>
      </c>
      <c r="I512" s="1" t="s">
        <v>5313</v>
      </c>
      <c r="J512" s="1" t="s">
        <v>5314</v>
      </c>
      <c r="K512" s="1" t="s">
        <v>74</v>
      </c>
      <c r="L512" s="1" t="s">
        <v>74</v>
      </c>
      <c r="M512" s="1" t="s">
        <v>74</v>
      </c>
      <c r="N512" s="1" t="s">
        <v>74</v>
      </c>
      <c r="O512" s="1" t="s">
        <v>74</v>
      </c>
      <c r="P512" s="1" t="s">
        <v>74</v>
      </c>
      <c r="Q512" s="1" t="s">
        <v>74</v>
      </c>
      <c r="R512" s="1" t="s">
        <v>74</v>
      </c>
      <c r="S512" s="1" t="s">
        <v>74</v>
      </c>
      <c r="T512" s="1" t="s">
        <v>74</v>
      </c>
      <c r="U512" s="1" t="s">
        <v>74</v>
      </c>
      <c r="V512" s="1" t="s">
        <v>5315</v>
      </c>
      <c r="W512" s="1" t="s">
        <v>74</v>
      </c>
      <c r="X512" s="1" t="s">
        <v>74</v>
      </c>
      <c r="Y512" s="1" t="s">
        <v>74</v>
      </c>
      <c r="Z512" s="1" t="s">
        <v>74</v>
      </c>
      <c r="AA512" s="1" t="s">
        <v>5316</v>
      </c>
      <c r="AB512" s="1" t="s">
        <v>5317</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5318</v>
      </c>
      <c r="AP512" s="1" t="s">
        <v>5319</v>
      </c>
      <c r="AQ512" s="1" t="s">
        <v>74</v>
      </c>
      <c r="AR512" s="1" t="s">
        <v>74</v>
      </c>
      <c r="AS512" s="1" t="s">
        <v>74</v>
      </c>
      <c r="AT512" s="1" t="s">
        <v>74</v>
      </c>
      <c r="AU512" s="1">
        <v>2023.0</v>
      </c>
      <c r="AV512" s="1">
        <v>24.0</v>
      </c>
      <c r="AW512" s="1">
        <v>4.0</v>
      </c>
      <c r="AX512" s="1" t="s">
        <v>74</v>
      </c>
      <c r="AY512" s="1" t="s">
        <v>74</v>
      </c>
      <c r="AZ512" s="1" t="s">
        <v>74</v>
      </c>
      <c r="BA512" s="1" t="s">
        <v>74</v>
      </c>
      <c r="BB512" s="1">
        <v>18.0</v>
      </c>
      <c r="BC512" s="1">
        <v>24.0</v>
      </c>
      <c r="BD512" s="1" t="s">
        <v>74</v>
      </c>
      <c r="BE512" s="1" t="s">
        <v>5320</v>
      </c>
      <c r="BF512" s="2" t="str">
        <f>HYPERLINK("http://dx.doi.org/10.5114/hm.2023.132708","http://dx.doi.org/10.5114/hm.2023.132708")</f>
        <v>http://dx.doi.org/10.5114/hm.2023.132708</v>
      </c>
      <c r="BG512" s="1" t="s">
        <v>74</v>
      </c>
      <c r="BH512" s="1" t="s">
        <v>74</v>
      </c>
      <c r="BI512" s="1" t="s">
        <v>74</v>
      </c>
      <c r="BJ512" s="1" t="s">
        <v>74</v>
      </c>
      <c r="BK512" s="1" t="s">
        <v>74</v>
      </c>
      <c r="BL512" s="1" t="s">
        <v>74</v>
      </c>
      <c r="BM512" s="1" t="s">
        <v>74</v>
      </c>
      <c r="BN512" s="1" t="s">
        <v>74</v>
      </c>
      <c r="BO512" s="1" t="s">
        <v>74</v>
      </c>
      <c r="BP512" s="1" t="s">
        <v>74</v>
      </c>
      <c r="BQ512" s="1" t="s">
        <v>74</v>
      </c>
      <c r="BR512" s="1" t="s">
        <v>74</v>
      </c>
      <c r="BS512" s="1" t="s">
        <v>5321</v>
      </c>
      <c r="BT512" s="1" t="str">
        <f>HYPERLINK("https%3A%2F%2Fwww.webofscience.com%2Fwos%2Fwoscc%2Ffull-record%2FWOS:001207901400002","View Full Record in Web of Science")</f>
        <v>View Full Record in Web of Science</v>
      </c>
    </row>
    <row r="513" ht="12.75" customHeight="1">
      <c r="A513" s="1" t="s">
        <v>72</v>
      </c>
      <c r="B513" s="1" t="s">
        <v>5322</v>
      </c>
      <c r="C513" s="1" t="s">
        <v>74</v>
      </c>
      <c r="D513" s="1" t="s">
        <v>74</v>
      </c>
      <c r="E513" s="1" t="s">
        <v>74</v>
      </c>
      <c r="F513" s="1" t="s">
        <v>5323</v>
      </c>
      <c r="G513" s="1" t="s">
        <v>74</v>
      </c>
      <c r="H513" s="1" t="s">
        <v>74</v>
      </c>
      <c r="I513" s="1" t="s">
        <v>5324</v>
      </c>
      <c r="J513" s="1" t="s">
        <v>3102</v>
      </c>
      <c r="K513" s="1" t="s">
        <v>74</v>
      </c>
      <c r="L513" s="1" t="s">
        <v>74</v>
      </c>
      <c r="M513" s="1" t="s">
        <v>74</v>
      </c>
      <c r="N513" s="1" t="s">
        <v>74</v>
      </c>
      <c r="O513" s="1" t="s">
        <v>74</v>
      </c>
      <c r="P513" s="1" t="s">
        <v>74</v>
      </c>
      <c r="Q513" s="1" t="s">
        <v>74</v>
      </c>
      <c r="R513" s="1" t="s">
        <v>74</v>
      </c>
      <c r="S513" s="1" t="s">
        <v>74</v>
      </c>
      <c r="T513" s="1" t="s">
        <v>74</v>
      </c>
      <c r="U513" s="1" t="s">
        <v>74</v>
      </c>
      <c r="V513" s="1" t="s">
        <v>5325</v>
      </c>
      <c r="W513" s="1" t="s">
        <v>74</v>
      </c>
      <c r="X513" s="1" t="s">
        <v>74</v>
      </c>
      <c r="Y513" s="1" t="s">
        <v>74</v>
      </c>
      <c r="Z513" s="1" t="s">
        <v>74</v>
      </c>
      <c r="AA513" s="1" t="s">
        <v>5326</v>
      </c>
      <c r="AB513" s="1" t="s">
        <v>5327</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74</v>
      </c>
      <c r="AP513" s="1" t="s">
        <v>3106</v>
      </c>
      <c r="AQ513" s="1" t="s">
        <v>74</v>
      </c>
      <c r="AR513" s="1" t="s">
        <v>74</v>
      </c>
      <c r="AS513" s="1" t="s">
        <v>74</v>
      </c>
      <c r="AT513" s="1" t="s">
        <v>392</v>
      </c>
      <c r="AU513" s="1">
        <v>2021.0</v>
      </c>
      <c r="AV513" s="1">
        <v>11.0</v>
      </c>
      <c r="AW513" s="1">
        <v>8.0</v>
      </c>
      <c r="AX513" s="1" t="s">
        <v>74</v>
      </c>
      <c r="AY513" s="1" t="s">
        <v>74</v>
      </c>
      <c r="AZ513" s="1" t="s">
        <v>74</v>
      </c>
      <c r="BA513" s="1" t="s">
        <v>74</v>
      </c>
      <c r="BB513" s="1" t="s">
        <v>74</v>
      </c>
      <c r="BC513" s="1" t="s">
        <v>74</v>
      </c>
      <c r="BD513" s="1">
        <v>3317.0</v>
      </c>
      <c r="BE513" s="1" t="s">
        <v>5328</v>
      </c>
      <c r="BF513" s="2" t="str">
        <f>HYPERLINK("http://dx.doi.org/10.3390/app11083317","http://dx.doi.org/10.3390/app11083317")</f>
        <v>http://dx.doi.org/10.3390/app11083317</v>
      </c>
      <c r="BG513" s="1" t="s">
        <v>74</v>
      </c>
      <c r="BH513" s="1" t="s">
        <v>74</v>
      </c>
      <c r="BI513" s="1" t="s">
        <v>74</v>
      </c>
      <c r="BJ513" s="1" t="s">
        <v>74</v>
      </c>
      <c r="BK513" s="1" t="s">
        <v>74</v>
      </c>
      <c r="BL513" s="1" t="s">
        <v>74</v>
      </c>
      <c r="BM513" s="1" t="s">
        <v>74</v>
      </c>
      <c r="BN513" s="1" t="s">
        <v>74</v>
      </c>
      <c r="BO513" s="1" t="s">
        <v>74</v>
      </c>
      <c r="BP513" s="1" t="s">
        <v>74</v>
      </c>
      <c r="BQ513" s="1" t="s">
        <v>74</v>
      </c>
      <c r="BR513" s="1" t="s">
        <v>74</v>
      </c>
      <c r="BS513" s="1" t="s">
        <v>5329</v>
      </c>
      <c r="BT513" s="1" t="str">
        <f>HYPERLINK("https%3A%2F%2Fwww.webofscience.com%2Fwos%2Fwoscc%2Ffull-record%2FWOS:000644026100001","View Full Record in Web of Science")</f>
        <v>View Full Record in Web of Science</v>
      </c>
    </row>
    <row r="514" ht="12.75" customHeight="1">
      <c r="A514" s="1" t="s">
        <v>72</v>
      </c>
      <c r="B514" s="1" t="s">
        <v>5330</v>
      </c>
      <c r="C514" s="1" t="s">
        <v>74</v>
      </c>
      <c r="D514" s="1" t="s">
        <v>74</v>
      </c>
      <c r="E514" s="1" t="s">
        <v>74</v>
      </c>
      <c r="F514" s="1" t="s">
        <v>5331</v>
      </c>
      <c r="G514" s="1" t="s">
        <v>74</v>
      </c>
      <c r="H514" s="1" t="s">
        <v>74</v>
      </c>
      <c r="I514" s="1" t="s">
        <v>5332</v>
      </c>
      <c r="J514" s="1" t="s">
        <v>5333</v>
      </c>
      <c r="K514" s="1" t="s">
        <v>74</v>
      </c>
      <c r="L514" s="1" t="s">
        <v>74</v>
      </c>
      <c r="M514" s="1" t="s">
        <v>74</v>
      </c>
      <c r="N514" s="1" t="s">
        <v>74</v>
      </c>
      <c r="O514" s="1" t="s">
        <v>74</v>
      </c>
      <c r="P514" s="1" t="s">
        <v>74</v>
      </c>
      <c r="Q514" s="1" t="s">
        <v>74</v>
      </c>
      <c r="R514" s="1" t="s">
        <v>74</v>
      </c>
      <c r="S514" s="1" t="s">
        <v>74</v>
      </c>
      <c r="T514" s="1" t="s">
        <v>74</v>
      </c>
      <c r="U514" s="1" t="s">
        <v>74</v>
      </c>
      <c r="V514" s="1" t="s">
        <v>5334</v>
      </c>
      <c r="W514" s="1" t="s">
        <v>74</v>
      </c>
      <c r="X514" s="1" t="s">
        <v>74</v>
      </c>
      <c r="Y514" s="1" t="s">
        <v>74</v>
      </c>
      <c r="Z514" s="1" t="s">
        <v>74</v>
      </c>
      <c r="AA514" s="1" t="s">
        <v>5335</v>
      </c>
      <c r="AB514" s="1" t="s">
        <v>4280</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5336</v>
      </c>
      <c r="AP514" s="1" t="s">
        <v>5337</v>
      </c>
      <c r="AQ514" s="1" t="s">
        <v>74</v>
      </c>
      <c r="AR514" s="1" t="s">
        <v>74</v>
      </c>
      <c r="AS514" s="1" t="s">
        <v>74</v>
      </c>
      <c r="AT514" s="1" t="s">
        <v>745</v>
      </c>
      <c r="AU514" s="1">
        <v>2020.0</v>
      </c>
      <c r="AV514" s="1">
        <v>47.0</v>
      </c>
      <c r="AW514" s="1">
        <v>8.0</v>
      </c>
      <c r="AX514" s="1" t="s">
        <v>74</v>
      </c>
      <c r="AY514" s="1" t="s">
        <v>74</v>
      </c>
      <c r="AZ514" s="1" t="s">
        <v>74</v>
      </c>
      <c r="BA514" s="1" t="s">
        <v>74</v>
      </c>
      <c r="BB514" s="1">
        <v>1927.0</v>
      </c>
      <c r="BC514" s="1">
        <v>1937.0</v>
      </c>
      <c r="BD514" s="1" t="s">
        <v>74</v>
      </c>
      <c r="BE514" s="1" t="s">
        <v>5338</v>
      </c>
      <c r="BF514" s="2" t="str">
        <f>HYPERLINK("http://dx.doi.org/10.1007/s00259-019-04594-z","http://dx.doi.org/10.1007/s00259-019-04594-z")</f>
        <v>http://dx.doi.org/10.1007/s00259-019-04594-z</v>
      </c>
      <c r="BG514" s="1" t="s">
        <v>74</v>
      </c>
      <c r="BH514" s="1" t="s">
        <v>5339</v>
      </c>
      <c r="BI514" s="1" t="s">
        <v>74</v>
      </c>
      <c r="BJ514" s="1" t="s">
        <v>74</v>
      </c>
      <c r="BK514" s="1" t="s">
        <v>74</v>
      </c>
      <c r="BL514" s="1" t="s">
        <v>74</v>
      </c>
      <c r="BM514" s="1" t="s">
        <v>74</v>
      </c>
      <c r="BN514" s="1">
        <v>3.1788709E7</v>
      </c>
      <c r="BO514" s="1" t="s">
        <v>74</v>
      </c>
      <c r="BP514" s="1" t="s">
        <v>74</v>
      </c>
      <c r="BQ514" s="1" t="s">
        <v>74</v>
      </c>
      <c r="BR514" s="1" t="s">
        <v>74</v>
      </c>
      <c r="BS514" s="1" t="s">
        <v>5340</v>
      </c>
      <c r="BT514" s="1" t="str">
        <f>HYPERLINK("https%3A%2F%2Fwww.webofscience.com%2Fwos%2Fwoscc%2Ffull-record%2FWOS:000501498000001","View Full Record in Web of Science")</f>
        <v>View Full Record in Web of Science</v>
      </c>
    </row>
    <row r="515" ht="12.75" customHeight="1">
      <c r="A515" s="1" t="s">
        <v>72</v>
      </c>
      <c r="B515" s="1" t="s">
        <v>5341</v>
      </c>
      <c r="C515" s="1" t="s">
        <v>74</v>
      </c>
      <c r="D515" s="1" t="s">
        <v>74</v>
      </c>
      <c r="E515" s="1" t="s">
        <v>74</v>
      </c>
      <c r="F515" s="1" t="s">
        <v>5342</v>
      </c>
      <c r="G515" s="1" t="s">
        <v>74</v>
      </c>
      <c r="H515" s="1" t="s">
        <v>74</v>
      </c>
      <c r="I515" s="1" t="s">
        <v>5343</v>
      </c>
      <c r="J515" s="1" t="s">
        <v>1550</v>
      </c>
      <c r="K515" s="1" t="s">
        <v>74</v>
      </c>
      <c r="L515" s="1" t="s">
        <v>74</v>
      </c>
      <c r="M515" s="1" t="s">
        <v>74</v>
      </c>
      <c r="N515" s="1" t="s">
        <v>74</v>
      </c>
      <c r="O515" s="1" t="s">
        <v>74</v>
      </c>
      <c r="P515" s="1" t="s">
        <v>74</v>
      </c>
      <c r="Q515" s="1" t="s">
        <v>74</v>
      </c>
      <c r="R515" s="1" t="s">
        <v>74</v>
      </c>
      <c r="S515" s="1" t="s">
        <v>74</v>
      </c>
      <c r="T515" s="1" t="s">
        <v>74</v>
      </c>
      <c r="U515" s="1" t="s">
        <v>74</v>
      </c>
      <c r="V515" s="1" t="s">
        <v>5344</v>
      </c>
      <c r="W515" s="1" t="s">
        <v>74</v>
      </c>
      <c r="X515" s="1" t="s">
        <v>74</v>
      </c>
      <c r="Y515" s="1" t="s">
        <v>74</v>
      </c>
      <c r="Z515" s="1" t="s">
        <v>74</v>
      </c>
      <c r="AA515" s="1" t="s">
        <v>5345</v>
      </c>
      <c r="AB515" s="1" t="s">
        <v>5346</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1554</v>
      </c>
      <c r="AP515" s="1" t="s">
        <v>74</v>
      </c>
      <c r="AQ515" s="1" t="s">
        <v>74</v>
      </c>
      <c r="AR515" s="1" t="s">
        <v>74</v>
      </c>
      <c r="AS515" s="1" t="s">
        <v>74</v>
      </c>
      <c r="AT515" s="1" t="s">
        <v>5347</v>
      </c>
      <c r="AU515" s="1">
        <v>2011.0</v>
      </c>
      <c r="AV515" s="1">
        <v>50.0</v>
      </c>
      <c r="AW515" s="1">
        <v>22.0</v>
      </c>
      <c r="AX515" s="1" t="s">
        <v>74</v>
      </c>
      <c r="AY515" s="1" t="s">
        <v>74</v>
      </c>
      <c r="AZ515" s="1" t="s">
        <v>74</v>
      </c>
      <c r="BA515" s="1" t="s">
        <v>74</v>
      </c>
      <c r="BB515" s="1">
        <v>11461.0</v>
      </c>
      <c r="BC515" s="1">
        <v>11471.0</v>
      </c>
      <c r="BD515" s="1" t="s">
        <v>74</v>
      </c>
      <c r="BE515" s="1" t="s">
        <v>5348</v>
      </c>
      <c r="BF515" s="2" t="str">
        <f>HYPERLINK("http://dx.doi.org/10.1021/ic201278a","http://dx.doi.org/10.1021/ic201278a")</f>
        <v>http://dx.doi.org/10.1021/ic201278a</v>
      </c>
      <c r="BG515" s="1" t="s">
        <v>74</v>
      </c>
      <c r="BH515" s="1" t="s">
        <v>74</v>
      </c>
      <c r="BI515" s="1" t="s">
        <v>74</v>
      </c>
      <c r="BJ515" s="1" t="s">
        <v>74</v>
      </c>
      <c r="BK515" s="1" t="s">
        <v>74</v>
      </c>
      <c r="BL515" s="1" t="s">
        <v>74</v>
      </c>
      <c r="BM515" s="1" t="s">
        <v>74</v>
      </c>
      <c r="BN515" s="1">
        <v>2.2026723E7</v>
      </c>
      <c r="BO515" s="1" t="s">
        <v>74</v>
      </c>
      <c r="BP515" s="1" t="s">
        <v>74</v>
      </c>
      <c r="BQ515" s="1" t="s">
        <v>74</v>
      </c>
      <c r="BR515" s="1" t="s">
        <v>74</v>
      </c>
      <c r="BS515" s="1" t="s">
        <v>5349</v>
      </c>
      <c r="BT515" s="1" t="str">
        <f>HYPERLINK("https%3A%2F%2Fwww.webofscience.com%2Fwos%2Fwoscc%2Ffull-record%2FWOS:000296830400027","View Full Record in Web of Science")</f>
        <v>View Full Record in Web of Science</v>
      </c>
    </row>
    <row r="516" ht="12.75" customHeight="1">
      <c r="A516" s="1" t="s">
        <v>72</v>
      </c>
      <c r="B516" s="1" t="s">
        <v>5350</v>
      </c>
      <c r="C516" s="1" t="s">
        <v>74</v>
      </c>
      <c r="D516" s="1" t="s">
        <v>74</v>
      </c>
      <c r="E516" s="1" t="s">
        <v>74</v>
      </c>
      <c r="F516" s="1" t="s">
        <v>5351</v>
      </c>
      <c r="G516" s="1" t="s">
        <v>74</v>
      </c>
      <c r="H516" s="1" t="s">
        <v>74</v>
      </c>
      <c r="I516" s="1" t="s">
        <v>5352</v>
      </c>
      <c r="J516" s="1" t="s">
        <v>5353</v>
      </c>
      <c r="K516" s="1" t="s">
        <v>74</v>
      </c>
      <c r="L516" s="1" t="s">
        <v>74</v>
      </c>
      <c r="M516" s="1" t="s">
        <v>74</v>
      </c>
      <c r="N516" s="1" t="s">
        <v>74</v>
      </c>
      <c r="O516" s="1" t="s">
        <v>74</v>
      </c>
      <c r="P516" s="1" t="s">
        <v>74</v>
      </c>
      <c r="Q516" s="1" t="s">
        <v>74</v>
      </c>
      <c r="R516" s="1" t="s">
        <v>74</v>
      </c>
      <c r="S516" s="1" t="s">
        <v>74</v>
      </c>
      <c r="T516" s="1" t="s">
        <v>74</v>
      </c>
      <c r="U516" s="1" t="s">
        <v>74</v>
      </c>
      <c r="V516" s="1" t="s">
        <v>5354</v>
      </c>
      <c r="W516" s="1" t="s">
        <v>74</v>
      </c>
      <c r="X516" s="1" t="s">
        <v>74</v>
      </c>
      <c r="Y516" s="1" t="s">
        <v>74</v>
      </c>
      <c r="Z516" s="1" t="s">
        <v>74</v>
      </c>
      <c r="AA516" s="1" t="s">
        <v>5355</v>
      </c>
      <c r="AB516" s="1" t="s">
        <v>5356</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5357</v>
      </c>
      <c r="AP516" s="1" t="s">
        <v>5358</v>
      </c>
      <c r="AQ516" s="1" t="s">
        <v>74</v>
      </c>
      <c r="AR516" s="1" t="s">
        <v>74</v>
      </c>
      <c r="AS516" s="1" t="s">
        <v>74</v>
      </c>
      <c r="AT516" s="1" t="s">
        <v>5359</v>
      </c>
      <c r="AU516" s="1">
        <v>2024.0</v>
      </c>
      <c r="AV516" s="1">
        <v>436.0</v>
      </c>
      <c r="AW516" s="1">
        <v>6.0</v>
      </c>
      <c r="AX516" s="1" t="s">
        <v>74</v>
      </c>
      <c r="AY516" s="1" t="s">
        <v>74</v>
      </c>
      <c r="AZ516" s="1" t="s">
        <v>74</v>
      </c>
      <c r="BA516" s="1" t="s">
        <v>74</v>
      </c>
      <c r="BB516" s="1" t="s">
        <v>74</v>
      </c>
      <c r="BC516" s="1" t="s">
        <v>74</v>
      </c>
      <c r="BD516" s="1">
        <v>168448.0</v>
      </c>
      <c r="BE516" s="1" t="s">
        <v>5360</v>
      </c>
      <c r="BF516" s="2" t="str">
        <f>HYPERLINK("http://dx.doi.org/10.1016/j.jmb.2024.168448","http://dx.doi.org/10.1016/j.jmb.2024.168448")</f>
        <v>http://dx.doi.org/10.1016/j.jmb.2024.168448</v>
      </c>
      <c r="BG516" s="1" t="s">
        <v>74</v>
      </c>
      <c r="BH516" s="1" t="s">
        <v>1329</v>
      </c>
      <c r="BI516" s="1" t="s">
        <v>74</v>
      </c>
      <c r="BJ516" s="1" t="s">
        <v>74</v>
      </c>
      <c r="BK516" s="1" t="s">
        <v>74</v>
      </c>
      <c r="BL516" s="1" t="s">
        <v>74</v>
      </c>
      <c r="BM516" s="1" t="s">
        <v>74</v>
      </c>
      <c r="BN516" s="1">
        <v>3.8266982E7</v>
      </c>
      <c r="BO516" s="1" t="s">
        <v>74</v>
      </c>
      <c r="BP516" s="1" t="s">
        <v>74</v>
      </c>
      <c r="BQ516" s="1" t="s">
        <v>74</v>
      </c>
      <c r="BR516" s="1" t="s">
        <v>74</v>
      </c>
      <c r="BS516" s="1" t="s">
        <v>5361</v>
      </c>
      <c r="BT516" s="1" t="str">
        <f>HYPERLINK("https%3A%2F%2Fwww.webofscience.com%2Fwos%2Fwoscc%2Ffull-record%2FWOS:001176565000001","View Full Record in Web of Science")</f>
        <v>View Full Record in Web of Science</v>
      </c>
    </row>
    <row r="517" ht="12.75" customHeight="1">
      <c r="A517" s="1" t="s">
        <v>72</v>
      </c>
      <c r="B517" s="1" t="s">
        <v>5362</v>
      </c>
      <c r="C517" s="1" t="s">
        <v>74</v>
      </c>
      <c r="D517" s="1" t="s">
        <v>74</v>
      </c>
      <c r="E517" s="1" t="s">
        <v>74</v>
      </c>
      <c r="F517" s="1" t="s">
        <v>5363</v>
      </c>
      <c r="G517" s="1" t="s">
        <v>74</v>
      </c>
      <c r="H517" s="1" t="s">
        <v>74</v>
      </c>
      <c r="I517" s="1" t="s">
        <v>5364</v>
      </c>
      <c r="J517" s="1" t="s">
        <v>4926</v>
      </c>
      <c r="K517" s="1" t="s">
        <v>74</v>
      </c>
      <c r="L517" s="1" t="s">
        <v>74</v>
      </c>
      <c r="M517" s="1" t="s">
        <v>74</v>
      </c>
      <c r="N517" s="1" t="s">
        <v>74</v>
      </c>
      <c r="O517" s="1" t="s">
        <v>74</v>
      </c>
      <c r="P517" s="1" t="s">
        <v>74</v>
      </c>
      <c r="Q517" s="1" t="s">
        <v>74</v>
      </c>
      <c r="R517" s="1" t="s">
        <v>74</v>
      </c>
      <c r="S517" s="1" t="s">
        <v>74</v>
      </c>
      <c r="T517" s="1" t="s">
        <v>74</v>
      </c>
      <c r="U517" s="1" t="s">
        <v>74</v>
      </c>
      <c r="V517" s="1" t="s">
        <v>5365</v>
      </c>
      <c r="W517" s="1" t="s">
        <v>74</v>
      </c>
      <c r="X517" s="1" t="s">
        <v>74</v>
      </c>
      <c r="Y517" s="1" t="s">
        <v>74</v>
      </c>
      <c r="Z517" s="1" t="s">
        <v>74</v>
      </c>
      <c r="AA517" s="1" t="s">
        <v>5366</v>
      </c>
      <c r="AB517" s="1" t="s">
        <v>5367</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74</v>
      </c>
      <c r="AP517" s="1" t="s">
        <v>4930</v>
      </c>
      <c r="AQ517" s="1" t="s">
        <v>74</v>
      </c>
      <c r="AR517" s="1" t="s">
        <v>74</v>
      </c>
      <c r="AS517" s="1" t="s">
        <v>74</v>
      </c>
      <c r="AT517" s="1" t="s">
        <v>94</v>
      </c>
      <c r="AU517" s="1">
        <v>2021.0</v>
      </c>
      <c r="AV517" s="1">
        <v>11.0</v>
      </c>
      <c r="AW517" s="1">
        <v>12.0</v>
      </c>
      <c r="AX517" s="1" t="s">
        <v>74</v>
      </c>
      <c r="AY517" s="1" t="s">
        <v>74</v>
      </c>
      <c r="AZ517" s="1" t="s">
        <v>74</v>
      </c>
      <c r="BA517" s="1" t="s">
        <v>74</v>
      </c>
      <c r="BB517" s="1" t="s">
        <v>74</v>
      </c>
      <c r="BC517" s="1" t="s">
        <v>74</v>
      </c>
      <c r="BD517" s="1">
        <v>1476.0</v>
      </c>
      <c r="BE517" s="1" t="s">
        <v>5368</v>
      </c>
      <c r="BF517" s="2" t="str">
        <f>HYPERLINK("http://dx.doi.org/10.3390/cryst11121476","http://dx.doi.org/10.3390/cryst11121476")</f>
        <v>http://dx.doi.org/10.3390/cryst11121476</v>
      </c>
      <c r="BG517" s="1" t="s">
        <v>74</v>
      </c>
      <c r="BH517" s="1" t="s">
        <v>74</v>
      </c>
      <c r="BI517" s="1" t="s">
        <v>74</v>
      </c>
      <c r="BJ517" s="1" t="s">
        <v>74</v>
      </c>
      <c r="BK517" s="1" t="s">
        <v>74</v>
      </c>
      <c r="BL517" s="1" t="s">
        <v>74</v>
      </c>
      <c r="BM517" s="1" t="s">
        <v>74</v>
      </c>
      <c r="BN517" s="1" t="s">
        <v>74</v>
      </c>
      <c r="BO517" s="1" t="s">
        <v>74</v>
      </c>
      <c r="BP517" s="1" t="s">
        <v>74</v>
      </c>
      <c r="BQ517" s="1" t="s">
        <v>74</v>
      </c>
      <c r="BR517" s="1" t="s">
        <v>74</v>
      </c>
      <c r="BS517" s="1" t="s">
        <v>5369</v>
      </c>
      <c r="BT517" s="1" t="str">
        <f>HYPERLINK("https%3A%2F%2Fwww.webofscience.com%2Fwos%2Fwoscc%2Ffull-record%2FWOS:000737119600001","View Full Record in Web of Science")</f>
        <v>View Full Record in Web of Science</v>
      </c>
    </row>
    <row r="518" ht="12.75" customHeight="1">
      <c r="A518" s="1" t="s">
        <v>72</v>
      </c>
      <c r="B518" s="1" t="s">
        <v>5370</v>
      </c>
      <c r="C518" s="1" t="s">
        <v>74</v>
      </c>
      <c r="D518" s="1" t="s">
        <v>74</v>
      </c>
      <c r="E518" s="1" t="s">
        <v>74</v>
      </c>
      <c r="F518" s="1" t="s">
        <v>5371</v>
      </c>
      <c r="G518" s="1" t="s">
        <v>74</v>
      </c>
      <c r="H518" s="1" t="s">
        <v>74</v>
      </c>
      <c r="I518" s="1" t="s">
        <v>5372</v>
      </c>
      <c r="J518" s="1" t="s">
        <v>5373</v>
      </c>
      <c r="K518" s="1" t="s">
        <v>74</v>
      </c>
      <c r="L518" s="1" t="s">
        <v>74</v>
      </c>
      <c r="M518" s="1" t="s">
        <v>74</v>
      </c>
      <c r="N518" s="1" t="s">
        <v>74</v>
      </c>
      <c r="O518" s="1" t="s">
        <v>74</v>
      </c>
      <c r="P518" s="1" t="s">
        <v>74</v>
      </c>
      <c r="Q518" s="1" t="s">
        <v>74</v>
      </c>
      <c r="R518" s="1" t="s">
        <v>74</v>
      </c>
      <c r="S518" s="1" t="s">
        <v>74</v>
      </c>
      <c r="T518" s="1" t="s">
        <v>74</v>
      </c>
      <c r="U518" s="1" t="s">
        <v>74</v>
      </c>
      <c r="V518" s="1" t="s">
        <v>5374</v>
      </c>
      <c r="W518" s="1" t="s">
        <v>74</v>
      </c>
      <c r="X518" s="1" t="s">
        <v>74</v>
      </c>
      <c r="Y518" s="1" t="s">
        <v>74</v>
      </c>
      <c r="Z518" s="1" t="s">
        <v>74</v>
      </c>
      <c r="AA518" s="1" t="s">
        <v>5375</v>
      </c>
      <c r="AB518" s="1" t="s">
        <v>5376</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5377</v>
      </c>
      <c r="AP518" s="1" t="s">
        <v>5378</v>
      </c>
      <c r="AQ518" s="1" t="s">
        <v>74</v>
      </c>
      <c r="AR518" s="1" t="s">
        <v>74</v>
      </c>
      <c r="AS518" s="1" t="s">
        <v>74</v>
      </c>
      <c r="AT518" s="1" t="s">
        <v>3699</v>
      </c>
      <c r="AU518" s="1">
        <v>2021.0</v>
      </c>
      <c r="AV518" s="1">
        <v>66.0</v>
      </c>
      <c r="AW518" s="1">
        <v>10.0</v>
      </c>
      <c r="AX518" s="1" t="s">
        <v>74</v>
      </c>
      <c r="AY518" s="1" t="s">
        <v>74</v>
      </c>
      <c r="AZ518" s="1" t="s">
        <v>74</v>
      </c>
      <c r="BA518" s="1" t="s">
        <v>74</v>
      </c>
      <c r="BB518" s="1">
        <v>3695.0</v>
      </c>
      <c r="BC518" s="1">
        <v>3705.0</v>
      </c>
      <c r="BD518" s="1" t="s">
        <v>74</v>
      </c>
      <c r="BE518" s="1" t="s">
        <v>5379</v>
      </c>
      <c r="BF518" s="2" t="str">
        <f>HYPERLINK("http://dx.doi.org/10.1021/acs.jced.1c00292","http://dx.doi.org/10.1021/acs.jced.1c00292")</f>
        <v>http://dx.doi.org/10.1021/acs.jced.1c00292</v>
      </c>
      <c r="BG518" s="1" t="s">
        <v>74</v>
      </c>
      <c r="BH518" s="1" t="s">
        <v>887</v>
      </c>
      <c r="BI518" s="1" t="s">
        <v>74</v>
      </c>
      <c r="BJ518" s="1" t="s">
        <v>74</v>
      </c>
      <c r="BK518" s="1" t="s">
        <v>74</v>
      </c>
      <c r="BL518" s="1" t="s">
        <v>74</v>
      </c>
      <c r="BM518" s="1" t="s">
        <v>74</v>
      </c>
      <c r="BN518" s="1" t="s">
        <v>74</v>
      </c>
      <c r="BO518" s="1" t="s">
        <v>74</v>
      </c>
      <c r="BP518" s="1" t="s">
        <v>74</v>
      </c>
      <c r="BQ518" s="1" t="s">
        <v>74</v>
      </c>
      <c r="BR518" s="1" t="s">
        <v>74</v>
      </c>
      <c r="BS518" s="1" t="s">
        <v>5380</v>
      </c>
      <c r="BT518" s="1" t="str">
        <f>HYPERLINK("https%3A%2F%2Fwww.webofscience.com%2Fwos%2Fwoscc%2Ffull-record%2FWOS:000709628600004","View Full Record in Web of Science")</f>
        <v>View Full Record in Web of Science</v>
      </c>
    </row>
    <row r="519" ht="12.75" customHeight="1">
      <c r="A519" s="1" t="s">
        <v>72</v>
      </c>
      <c r="B519" s="1" t="s">
        <v>5381</v>
      </c>
      <c r="C519" s="1" t="s">
        <v>74</v>
      </c>
      <c r="D519" s="1" t="s">
        <v>74</v>
      </c>
      <c r="E519" s="1" t="s">
        <v>74</v>
      </c>
      <c r="F519" s="1" t="s">
        <v>5382</v>
      </c>
      <c r="G519" s="1" t="s">
        <v>74</v>
      </c>
      <c r="H519" s="1" t="s">
        <v>74</v>
      </c>
      <c r="I519" s="1" t="s">
        <v>5383</v>
      </c>
      <c r="J519" s="1" t="s">
        <v>3328</v>
      </c>
      <c r="K519" s="1" t="s">
        <v>74</v>
      </c>
      <c r="L519" s="1" t="s">
        <v>74</v>
      </c>
      <c r="M519" s="1" t="s">
        <v>74</v>
      </c>
      <c r="N519" s="1" t="s">
        <v>74</v>
      </c>
      <c r="O519" s="1" t="s">
        <v>74</v>
      </c>
      <c r="P519" s="1" t="s">
        <v>74</v>
      </c>
      <c r="Q519" s="1" t="s">
        <v>74</v>
      </c>
      <c r="R519" s="1" t="s">
        <v>74</v>
      </c>
      <c r="S519" s="1" t="s">
        <v>74</v>
      </c>
      <c r="T519" s="1" t="s">
        <v>74</v>
      </c>
      <c r="U519" s="1" t="s">
        <v>74</v>
      </c>
      <c r="V519" s="1" t="s">
        <v>5384</v>
      </c>
      <c r="W519" s="1" t="s">
        <v>74</v>
      </c>
      <c r="X519" s="1" t="s">
        <v>74</v>
      </c>
      <c r="Y519" s="1" t="s">
        <v>74</v>
      </c>
      <c r="Z519" s="1" t="s">
        <v>74</v>
      </c>
      <c r="AA519" s="1" t="s">
        <v>5385</v>
      </c>
      <c r="AB519" s="1" t="s">
        <v>5386</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74</v>
      </c>
      <c r="AP519" s="1" t="s">
        <v>3332</v>
      </c>
      <c r="AQ519" s="1" t="s">
        <v>74</v>
      </c>
      <c r="AR519" s="1" t="s">
        <v>74</v>
      </c>
      <c r="AS519" s="1" t="s">
        <v>74</v>
      </c>
      <c r="AT519" s="1" t="s">
        <v>2104</v>
      </c>
      <c r="AU519" s="1">
        <v>2020.0</v>
      </c>
      <c r="AV519" s="1">
        <v>11.0</v>
      </c>
      <c r="AW519" s="1" t="s">
        <v>74</v>
      </c>
      <c r="AX519" s="1" t="s">
        <v>74</v>
      </c>
      <c r="AY519" s="1" t="s">
        <v>74</v>
      </c>
      <c r="AZ519" s="1" t="s">
        <v>74</v>
      </c>
      <c r="BA519" s="1" t="s">
        <v>74</v>
      </c>
      <c r="BB519" s="1" t="s">
        <v>74</v>
      </c>
      <c r="BC519" s="1" t="s">
        <v>74</v>
      </c>
      <c r="BD519" s="1">
        <v>1204.0</v>
      </c>
      <c r="BE519" s="1" t="s">
        <v>5387</v>
      </c>
      <c r="BF519" s="2" t="str">
        <f>HYPERLINK("http://dx.doi.org/10.3389/fmicb.2020.01204","http://dx.doi.org/10.3389/fmicb.2020.01204")</f>
        <v>http://dx.doi.org/10.3389/fmicb.2020.01204</v>
      </c>
      <c r="BG519" s="1" t="s">
        <v>74</v>
      </c>
      <c r="BH519" s="1" t="s">
        <v>74</v>
      </c>
      <c r="BI519" s="1" t="s">
        <v>74</v>
      </c>
      <c r="BJ519" s="1" t="s">
        <v>74</v>
      </c>
      <c r="BK519" s="1" t="s">
        <v>74</v>
      </c>
      <c r="BL519" s="1" t="s">
        <v>74</v>
      </c>
      <c r="BM519" s="1" t="s">
        <v>74</v>
      </c>
      <c r="BN519" s="1">
        <v>3.2612585E7</v>
      </c>
      <c r="BO519" s="1" t="s">
        <v>74</v>
      </c>
      <c r="BP519" s="1" t="s">
        <v>74</v>
      </c>
      <c r="BQ519" s="1" t="s">
        <v>74</v>
      </c>
      <c r="BR519" s="1" t="s">
        <v>74</v>
      </c>
      <c r="BS519" s="1" t="s">
        <v>5388</v>
      </c>
      <c r="BT519" s="1" t="str">
        <f>HYPERLINK("https%3A%2F%2Fwww.webofscience.com%2Fwos%2Fwoscc%2Ffull-record%2FWOS:000546214900001","View Full Record in Web of Science")</f>
        <v>View Full Record in Web of Science</v>
      </c>
    </row>
    <row r="520" ht="12.75" customHeight="1">
      <c r="A520" s="1" t="s">
        <v>72</v>
      </c>
      <c r="B520" s="1" t="s">
        <v>5389</v>
      </c>
      <c r="C520" s="1" t="s">
        <v>74</v>
      </c>
      <c r="D520" s="1" t="s">
        <v>74</v>
      </c>
      <c r="E520" s="1" t="s">
        <v>74</v>
      </c>
      <c r="F520" s="1" t="s">
        <v>5390</v>
      </c>
      <c r="G520" s="1" t="s">
        <v>74</v>
      </c>
      <c r="H520" s="1" t="s">
        <v>74</v>
      </c>
      <c r="I520" s="1" t="s">
        <v>5391</v>
      </c>
      <c r="J520" s="1" t="s">
        <v>4540</v>
      </c>
      <c r="K520" s="1" t="s">
        <v>74</v>
      </c>
      <c r="L520" s="1" t="s">
        <v>74</v>
      </c>
      <c r="M520" s="1" t="s">
        <v>74</v>
      </c>
      <c r="N520" s="1" t="s">
        <v>74</v>
      </c>
      <c r="O520" s="1" t="s">
        <v>74</v>
      </c>
      <c r="P520" s="1" t="s">
        <v>74</v>
      </c>
      <c r="Q520" s="1" t="s">
        <v>74</v>
      </c>
      <c r="R520" s="1" t="s">
        <v>74</v>
      </c>
      <c r="S520" s="1" t="s">
        <v>74</v>
      </c>
      <c r="T520" s="1" t="s">
        <v>74</v>
      </c>
      <c r="U520" s="1" t="s">
        <v>74</v>
      </c>
      <c r="V520" s="1" t="s">
        <v>5392</v>
      </c>
      <c r="W520" s="1" t="s">
        <v>74</v>
      </c>
      <c r="X520" s="1" t="s">
        <v>74</v>
      </c>
      <c r="Y520" s="1" t="s">
        <v>74</v>
      </c>
      <c r="Z520" s="1" t="s">
        <v>74</v>
      </c>
      <c r="AA520" s="1" t="s">
        <v>5393</v>
      </c>
      <c r="AB520" s="1" t="s">
        <v>5394</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4544</v>
      </c>
      <c r="AP520" s="1" t="s">
        <v>4545</v>
      </c>
      <c r="AQ520" s="1" t="s">
        <v>74</v>
      </c>
      <c r="AR520" s="1" t="s">
        <v>74</v>
      </c>
      <c r="AS520" s="1" t="s">
        <v>74</v>
      </c>
      <c r="AT520" s="1" t="s">
        <v>5395</v>
      </c>
      <c r="AU520" s="1">
        <v>2016.0</v>
      </c>
      <c r="AV520" s="1">
        <v>28.0</v>
      </c>
      <c r="AW520" s="1">
        <v>8.0</v>
      </c>
      <c r="AX520" s="1" t="s">
        <v>74</v>
      </c>
      <c r="AY520" s="1" t="s">
        <v>74</v>
      </c>
      <c r="AZ520" s="1" t="s">
        <v>448</v>
      </c>
      <c r="BA520" s="1" t="s">
        <v>74</v>
      </c>
      <c r="BB520" s="1">
        <v>2503.0</v>
      </c>
      <c r="BC520" s="1">
        <v>2527.0</v>
      </c>
      <c r="BD520" s="1" t="s">
        <v>74</v>
      </c>
      <c r="BE520" s="1" t="s">
        <v>5396</v>
      </c>
      <c r="BF520" s="2" t="str">
        <f>HYPERLINK("http://dx.doi.org/10.1002/cpe.3628","http://dx.doi.org/10.1002/cpe.3628")</f>
        <v>http://dx.doi.org/10.1002/cpe.3628</v>
      </c>
      <c r="BG520" s="1" t="s">
        <v>74</v>
      </c>
      <c r="BH520" s="1" t="s">
        <v>74</v>
      </c>
      <c r="BI520" s="1" t="s">
        <v>74</v>
      </c>
      <c r="BJ520" s="1" t="s">
        <v>74</v>
      </c>
      <c r="BK520" s="1" t="s">
        <v>74</v>
      </c>
      <c r="BL520" s="1" t="s">
        <v>74</v>
      </c>
      <c r="BM520" s="1" t="s">
        <v>74</v>
      </c>
      <c r="BN520" s="1" t="s">
        <v>74</v>
      </c>
      <c r="BO520" s="1" t="s">
        <v>74</v>
      </c>
      <c r="BP520" s="1" t="s">
        <v>74</v>
      </c>
      <c r="BQ520" s="1" t="s">
        <v>74</v>
      </c>
      <c r="BR520" s="1" t="s">
        <v>74</v>
      </c>
      <c r="BS520" s="1" t="s">
        <v>5397</v>
      </c>
      <c r="BT520" s="1" t="str">
        <f>HYPERLINK("https%3A%2F%2Fwww.webofscience.com%2Fwos%2Fwoscc%2Ffull-record%2FWOS:000376263300013","View Full Record in Web of Science")</f>
        <v>View Full Record in Web of Science</v>
      </c>
    </row>
    <row r="521" ht="12.75" customHeight="1">
      <c r="A521" s="1" t="s">
        <v>72</v>
      </c>
      <c r="B521" s="1" t="s">
        <v>5398</v>
      </c>
      <c r="C521" s="1" t="s">
        <v>74</v>
      </c>
      <c r="D521" s="1" t="s">
        <v>74</v>
      </c>
      <c r="E521" s="1" t="s">
        <v>74</v>
      </c>
      <c r="F521" s="1" t="s">
        <v>5399</v>
      </c>
      <c r="G521" s="1" t="s">
        <v>74</v>
      </c>
      <c r="H521" s="1" t="s">
        <v>74</v>
      </c>
      <c r="I521" s="1" t="s">
        <v>5400</v>
      </c>
      <c r="J521" s="1" t="s">
        <v>1121</v>
      </c>
      <c r="K521" s="1" t="s">
        <v>74</v>
      </c>
      <c r="L521" s="1" t="s">
        <v>74</v>
      </c>
      <c r="M521" s="1" t="s">
        <v>74</v>
      </c>
      <c r="N521" s="1" t="s">
        <v>74</v>
      </c>
      <c r="O521" s="1" t="s">
        <v>74</v>
      </c>
      <c r="P521" s="1" t="s">
        <v>74</v>
      </c>
      <c r="Q521" s="1" t="s">
        <v>74</v>
      </c>
      <c r="R521" s="1" t="s">
        <v>74</v>
      </c>
      <c r="S521" s="1" t="s">
        <v>74</v>
      </c>
      <c r="T521" s="1" t="s">
        <v>74</v>
      </c>
      <c r="U521" s="1" t="s">
        <v>74</v>
      </c>
      <c r="V521" s="1" t="s">
        <v>5401</v>
      </c>
      <c r="W521" s="1" t="s">
        <v>74</v>
      </c>
      <c r="X521" s="1" t="s">
        <v>74</v>
      </c>
      <c r="Y521" s="1" t="s">
        <v>74</v>
      </c>
      <c r="Z521" s="1" t="s">
        <v>74</v>
      </c>
      <c r="AA521" s="1" t="s">
        <v>5402</v>
      </c>
      <c r="AB521" s="1" t="s">
        <v>5403</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74</v>
      </c>
      <c r="AP521" s="1" t="s">
        <v>1125</v>
      </c>
      <c r="AQ521" s="1" t="s">
        <v>74</v>
      </c>
      <c r="AR521" s="1" t="s">
        <v>74</v>
      </c>
      <c r="AS521" s="1" t="s">
        <v>74</v>
      </c>
      <c r="AT521" s="1" t="s">
        <v>5404</v>
      </c>
      <c r="AU521" s="1">
        <v>2023.0</v>
      </c>
      <c r="AV521" s="1">
        <v>14.0</v>
      </c>
      <c r="AW521" s="1" t="s">
        <v>74</v>
      </c>
      <c r="AX521" s="1" t="s">
        <v>74</v>
      </c>
      <c r="AY521" s="1" t="s">
        <v>74</v>
      </c>
      <c r="AZ521" s="1" t="s">
        <v>74</v>
      </c>
      <c r="BA521" s="1" t="s">
        <v>74</v>
      </c>
      <c r="BB521" s="1" t="s">
        <v>74</v>
      </c>
      <c r="BC521" s="1" t="s">
        <v>74</v>
      </c>
      <c r="BD521" s="1">
        <v>1127669.0</v>
      </c>
      <c r="BE521" s="1" t="s">
        <v>5405</v>
      </c>
      <c r="BF521" s="2" t="str">
        <f>HYPERLINK("http://dx.doi.org/10.3389/fphys.2023.1127669","http://dx.doi.org/10.3389/fphys.2023.1127669")</f>
        <v>http://dx.doi.org/10.3389/fphys.2023.1127669</v>
      </c>
      <c r="BG521" s="1" t="s">
        <v>74</v>
      </c>
      <c r="BH521" s="1" t="s">
        <v>74</v>
      </c>
      <c r="BI521" s="1" t="s">
        <v>74</v>
      </c>
      <c r="BJ521" s="1" t="s">
        <v>74</v>
      </c>
      <c r="BK521" s="1" t="s">
        <v>74</v>
      </c>
      <c r="BL521" s="1" t="s">
        <v>74</v>
      </c>
      <c r="BM521" s="1" t="s">
        <v>74</v>
      </c>
      <c r="BN521" s="1">
        <v>3.687504E7</v>
      </c>
      <c r="BO521" s="1" t="s">
        <v>74</v>
      </c>
      <c r="BP521" s="1" t="s">
        <v>74</v>
      </c>
      <c r="BQ521" s="1" t="s">
        <v>74</v>
      </c>
      <c r="BR521" s="1" t="s">
        <v>74</v>
      </c>
      <c r="BS521" s="1" t="s">
        <v>5406</v>
      </c>
      <c r="BT521" s="1" t="str">
        <f>HYPERLINK("https%3A%2F%2Fwww.webofscience.com%2Fwos%2Fwoscc%2Ffull-record%2FWOS:000941334500001","View Full Record in Web of Science")</f>
        <v>View Full Record in Web of Science</v>
      </c>
    </row>
    <row r="522" ht="12.75" customHeight="1">
      <c r="A522" s="1" t="s">
        <v>72</v>
      </c>
      <c r="B522" s="1" t="s">
        <v>5407</v>
      </c>
      <c r="C522" s="1" t="s">
        <v>74</v>
      </c>
      <c r="D522" s="1" t="s">
        <v>74</v>
      </c>
      <c r="E522" s="1" t="s">
        <v>74</v>
      </c>
      <c r="F522" s="1" t="s">
        <v>5408</v>
      </c>
      <c r="G522" s="1" t="s">
        <v>74</v>
      </c>
      <c r="H522" s="1" t="s">
        <v>74</v>
      </c>
      <c r="I522" s="1" t="s">
        <v>5409</v>
      </c>
      <c r="J522" s="1" t="s">
        <v>1057</v>
      </c>
      <c r="K522" s="1" t="s">
        <v>74</v>
      </c>
      <c r="L522" s="1" t="s">
        <v>74</v>
      </c>
      <c r="M522" s="1" t="s">
        <v>74</v>
      </c>
      <c r="N522" s="1" t="s">
        <v>74</v>
      </c>
      <c r="O522" s="1" t="s">
        <v>74</v>
      </c>
      <c r="P522" s="1" t="s">
        <v>74</v>
      </c>
      <c r="Q522" s="1" t="s">
        <v>74</v>
      </c>
      <c r="R522" s="1" t="s">
        <v>74</v>
      </c>
      <c r="S522" s="1" t="s">
        <v>74</v>
      </c>
      <c r="T522" s="1" t="s">
        <v>74</v>
      </c>
      <c r="U522" s="1" t="s">
        <v>74</v>
      </c>
      <c r="V522" s="1" t="s">
        <v>5410</v>
      </c>
      <c r="W522" s="1" t="s">
        <v>74</v>
      </c>
      <c r="X522" s="1" t="s">
        <v>74</v>
      </c>
      <c r="Y522" s="1" t="s">
        <v>74</v>
      </c>
      <c r="Z522" s="1" t="s">
        <v>74</v>
      </c>
      <c r="AA522" s="1" t="s">
        <v>5411</v>
      </c>
      <c r="AB522" s="1" t="s">
        <v>5412</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74</v>
      </c>
      <c r="AP522" s="1" t="s">
        <v>1061</v>
      </c>
      <c r="AQ522" s="1" t="s">
        <v>74</v>
      </c>
      <c r="AR522" s="1" t="s">
        <v>74</v>
      </c>
      <c r="AS522" s="1" t="s">
        <v>74</v>
      </c>
      <c r="AT522" s="1" t="s">
        <v>106</v>
      </c>
      <c r="AU522" s="1">
        <v>2022.0</v>
      </c>
      <c r="AV522" s="1">
        <v>19.0</v>
      </c>
      <c r="AW522" s="1">
        <v>21.0</v>
      </c>
      <c r="AX522" s="1" t="s">
        <v>74</v>
      </c>
      <c r="AY522" s="1" t="s">
        <v>74</v>
      </c>
      <c r="AZ522" s="1" t="s">
        <v>74</v>
      </c>
      <c r="BA522" s="1" t="s">
        <v>74</v>
      </c>
      <c r="BB522" s="1" t="s">
        <v>74</v>
      </c>
      <c r="BC522" s="1" t="s">
        <v>74</v>
      </c>
      <c r="BD522" s="1">
        <v>13799.0</v>
      </c>
      <c r="BE522" s="1" t="s">
        <v>5413</v>
      </c>
      <c r="BF522" s="2" t="str">
        <f>HYPERLINK("http://dx.doi.org/10.3390/ijerph192113799","http://dx.doi.org/10.3390/ijerph192113799")</f>
        <v>http://dx.doi.org/10.3390/ijerph192113799</v>
      </c>
      <c r="BG522" s="1" t="s">
        <v>74</v>
      </c>
      <c r="BH522" s="1" t="s">
        <v>74</v>
      </c>
      <c r="BI522" s="1" t="s">
        <v>74</v>
      </c>
      <c r="BJ522" s="1" t="s">
        <v>74</v>
      </c>
      <c r="BK522" s="1" t="s">
        <v>74</v>
      </c>
      <c r="BL522" s="1" t="s">
        <v>74</v>
      </c>
      <c r="BM522" s="1" t="s">
        <v>74</v>
      </c>
      <c r="BN522" s="1">
        <v>3.6360685E7</v>
      </c>
      <c r="BO522" s="1" t="s">
        <v>74</v>
      </c>
      <c r="BP522" s="1" t="s">
        <v>74</v>
      </c>
      <c r="BQ522" s="1" t="s">
        <v>74</v>
      </c>
      <c r="BR522" s="1" t="s">
        <v>74</v>
      </c>
      <c r="BS522" s="1" t="s">
        <v>5414</v>
      </c>
      <c r="BT522" s="1" t="str">
        <f>HYPERLINK("https%3A%2F%2Fwww.webofscience.com%2Fwos%2Fwoscc%2Ffull-record%2FWOS:000881107200001","View Full Record in Web of Science")</f>
        <v>View Full Record in Web of Science</v>
      </c>
    </row>
    <row r="523" ht="12.75" customHeight="1">
      <c r="A523" s="1" t="s">
        <v>72</v>
      </c>
      <c r="B523" s="1" t="s">
        <v>5415</v>
      </c>
      <c r="C523" s="1" t="s">
        <v>74</v>
      </c>
      <c r="D523" s="1" t="s">
        <v>74</v>
      </c>
      <c r="E523" s="1" t="s">
        <v>74</v>
      </c>
      <c r="F523" s="1" t="s">
        <v>5416</v>
      </c>
      <c r="G523" s="1" t="s">
        <v>74</v>
      </c>
      <c r="H523" s="1" t="s">
        <v>74</v>
      </c>
      <c r="I523" s="1" t="s">
        <v>5417</v>
      </c>
      <c r="J523" s="1" t="s">
        <v>5418</v>
      </c>
      <c r="K523" s="1" t="s">
        <v>74</v>
      </c>
      <c r="L523" s="1" t="s">
        <v>74</v>
      </c>
      <c r="M523" s="1" t="s">
        <v>74</v>
      </c>
      <c r="N523" s="1" t="s">
        <v>74</v>
      </c>
      <c r="O523" s="1" t="s">
        <v>74</v>
      </c>
      <c r="P523" s="1" t="s">
        <v>74</v>
      </c>
      <c r="Q523" s="1" t="s">
        <v>74</v>
      </c>
      <c r="R523" s="1" t="s">
        <v>74</v>
      </c>
      <c r="S523" s="1" t="s">
        <v>74</v>
      </c>
      <c r="T523" s="1" t="s">
        <v>74</v>
      </c>
      <c r="U523" s="1" t="s">
        <v>74</v>
      </c>
      <c r="V523" s="1" t="s">
        <v>5419</v>
      </c>
      <c r="W523" s="1" t="s">
        <v>74</v>
      </c>
      <c r="X523" s="1" t="s">
        <v>74</v>
      </c>
      <c r="Y523" s="1" t="s">
        <v>74</v>
      </c>
      <c r="Z523" s="1" t="s">
        <v>74</v>
      </c>
      <c r="AA523" s="1" t="s">
        <v>5420</v>
      </c>
      <c r="AB523" s="1" t="s">
        <v>5421</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5422</v>
      </c>
      <c r="AP523" s="1" t="s">
        <v>5423</v>
      </c>
      <c r="AQ523" s="1" t="s">
        <v>74</v>
      </c>
      <c r="AR523" s="1" t="s">
        <v>74</v>
      </c>
      <c r="AS523" s="1" t="s">
        <v>74</v>
      </c>
      <c r="AT523" s="1" t="s">
        <v>264</v>
      </c>
      <c r="AU523" s="1">
        <v>2021.0</v>
      </c>
      <c r="AV523" s="1">
        <v>236.0</v>
      </c>
      <c r="AW523" s="1">
        <v>1.0</v>
      </c>
      <c r="AX523" s="1" t="s">
        <v>74</v>
      </c>
      <c r="AY523" s="1" t="s">
        <v>74</v>
      </c>
      <c r="AZ523" s="1" t="s">
        <v>74</v>
      </c>
      <c r="BA523" s="1" t="s">
        <v>74</v>
      </c>
      <c r="BB523" s="1">
        <v>260.0</v>
      </c>
      <c r="BC523" s="1">
        <v>272.0</v>
      </c>
      <c r="BD523" s="1" t="s">
        <v>74</v>
      </c>
      <c r="BE523" s="1" t="s">
        <v>5424</v>
      </c>
      <c r="BF523" s="2" t="str">
        <f>HYPERLINK("http://dx.doi.org/10.1002/jcp.29839","http://dx.doi.org/10.1002/jcp.29839")</f>
        <v>http://dx.doi.org/10.1002/jcp.29839</v>
      </c>
      <c r="BG523" s="1" t="s">
        <v>74</v>
      </c>
      <c r="BH523" s="1" t="s">
        <v>5425</v>
      </c>
      <c r="BI523" s="1" t="s">
        <v>74</v>
      </c>
      <c r="BJ523" s="1" t="s">
        <v>74</v>
      </c>
      <c r="BK523" s="1" t="s">
        <v>74</v>
      </c>
      <c r="BL523" s="1" t="s">
        <v>74</v>
      </c>
      <c r="BM523" s="1" t="s">
        <v>74</v>
      </c>
      <c r="BN523" s="1">
        <v>3.2506638E7</v>
      </c>
      <c r="BO523" s="1" t="s">
        <v>74</v>
      </c>
      <c r="BP523" s="1" t="s">
        <v>74</v>
      </c>
      <c r="BQ523" s="1" t="s">
        <v>74</v>
      </c>
      <c r="BR523" s="1" t="s">
        <v>74</v>
      </c>
      <c r="BS523" s="1" t="s">
        <v>5426</v>
      </c>
      <c r="BT523" s="1" t="str">
        <f>HYPERLINK("https%3A%2F%2Fwww.webofscience.com%2Fwos%2Fwoscc%2Ffull-record%2FWOS:000538312400001","View Full Record in Web of Science")</f>
        <v>View Full Record in Web of Science</v>
      </c>
    </row>
    <row r="524" ht="12.75" customHeight="1">
      <c r="A524" s="1" t="s">
        <v>72</v>
      </c>
      <c r="B524" s="1" t="s">
        <v>5427</v>
      </c>
      <c r="C524" s="1" t="s">
        <v>74</v>
      </c>
      <c r="D524" s="1" t="s">
        <v>74</v>
      </c>
      <c r="E524" s="1" t="s">
        <v>74</v>
      </c>
      <c r="F524" s="1" t="s">
        <v>5428</v>
      </c>
      <c r="G524" s="1" t="s">
        <v>74</v>
      </c>
      <c r="H524" s="1" t="s">
        <v>74</v>
      </c>
      <c r="I524" s="1" t="s">
        <v>5429</v>
      </c>
      <c r="J524" s="1" t="s">
        <v>5430</v>
      </c>
      <c r="K524" s="1" t="s">
        <v>74</v>
      </c>
      <c r="L524" s="1" t="s">
        <v>74</v>
      </c>
      <c r="M524" s="1" t="s">
        <v>74</v>
      </c>
      <c r="N524" s="1" t="s">
        <v>74</v>
      </c>
      <c r="O524" s="1" t="s">
        <v>74</v>
      </c>
      <c r="P524" s="1" t="s">
        <v>74</v>
      </c>
      <c r="Q524" s="1" t="s">
        <v>74</v>
      </c>
      <c r="R524" s="1" t="s">
        <v>74</v>
      </c>
      <c r="S524" s="1" t="s">
        <v>74</v>
      </c>
      <c r="T524" s="1" t="s">
        <v>74</v>
      </c>
      <c r="U524" s="1" t="s">
        <v>74</v>
      </c>
      <c r="V524" s="1" t="s">
        <v>5431</v>
      </c>
      <c r="W524" s="1" t="s">
        <v>74</v>
      </c>
      <c r="X524" s="1" t="s">
        <v>74</v>
      </c>
      <c r="Y524" s="1" t="s">
        <v>74</v>
      </c>
      <c r="Z524" s="1" t="s">
        <v>74</v>
      </c>
      <c r="AA524" s="1" t="s">
        <v>5432</v>
      </c>
      <c r="AB524" s="1" t="s">
        <v>5433</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5434</v>
      </c>
      <c r="AP524" s="1" t="s">
        <v>5435</v>
      </c>
      <c r="AQ524" s="1" t="s">
        <v>74</v>
      </c>
      <c r="AR524" s="1" t="s">
        <v>74</v>
      </c>
      <c r="AS524" s="1" t="s">
        <v>74</v>
      </c>
      <c r="AT524" s="1" t="s">
        <v>745</v>
      </c>
      <c r="AU524" s="1">
        <v>2018.0</v>
      </c>
      <c r="AV524" s="1">
        <v>27.0</v>
      </c>
      <c r="AW524" s="1">
        <v>8.0</v>
      </c>
      <c r="AX524" s="1" t="s">
        <v>74</v>
      </c>
      <c r="AY524" s="1" t="s">
        <v>74</v>
      </c>
      <c r="AZ524" s="1" t="s">
        <v>74</v>
      </c>
      <c r="BA524" s="1" t="s">
        <v>74</v>
      </c>
      <c r="BB524" s="1">
        <v>2608.0</v>
      </c>
      <c r="BC524" s="1">
        <v>2621.0</v>
      </c>
      <c r="BD524" s="1" t="s">
        <v>74</v>
      </c>
      <c r="BE524" s="1" t="s">
        <v>5436</v>
      </c>
      <c r="BF524" s="2" t="str">
        <f>HYPERLINK("http://dx.doi.org/10.1007/s10826-018-1105-5","http://dx.doi.org/10.1007/s10826-018-1105-5")</f>
        <v>http://dx.doi.org/10.1007/s10826-018-1105-5</v>
      </c>
      <c r="BG524" s="1" t="s">
        <v>74</v>
      </c>
      <c r="BH524" s="1" t="s">
        <v>74</v>
      </c>
      <c r="BI524" s="1" t="s">
        <v>74</v>
      </c>
      <c r="BJ524" s="1" t="s">
        <v>74</v>
      </c>
      <c r="BK524" s="1" t="s">
        <v>74</v>
      </c>
      <c r="BL524" s="1" t="s">
        <v>74</v>
      </c>
      <c r="BM524" s="1" t="s">
        <v>74</v>
      </c>
      <c r="BN524" s="1" t="s">
        <v>74</v>
      </c>
      <c r="BO524" s="1" t="s">
        <v>74</v>
      </c>
      <c r="BP524" s="1" t="s">
        <v>74</v>
      </c>
      <c r="BQ524" s="1" t="s">
        <v>74</v>
      </c>
      <c r="BR524" s="1" t="s">
        <v>74</v>
      </c>
      <c r="BS524" s="1" t="s">
        <v>5437</v>
      </c>
      <c r="BT524" s="1" t="str">
        <f>HYPERLINK("https%3A%2F%2Fwww.webofscience.com%2Fwos%2Fwoscc%2Ffull-record%2FWOS:000438106800022","View Full Record in Web of Science")</f>
        <v>View Full Record in Web of Science</v>
      </c>
    </row>
    <row r="525" ht="12.75" customHeight="1">
      <c r="A525" s="1" t="s">
        <v>72</v>
      </c>
      <c r="B525" s="1" t="s">
        <v>5438</v>
      </c>
      <c r="C525" s="1" t="s">
        <v>74</v>
      </c>
      <c r="D525" s="1" t="s">
        <v>74</v>
      </c>
      <c r="E525" s="1" t="s">
        <v>74</v>
      </c>
      <c r="F525" s="1" t="s">
        <v>5439</v>
      </c>
      <c r="G525" s="1" t="s">
        <v>74</v>
      </c>
      <c r="H525" s="1" t="s">
        <v>74</v>
      </c>
      <c r="I525" s="1" t="s">
        <v>5440</v>
      </c>
      <c r="J525" s="1" t="s">
        <v>2255</v>
      </c>
      <c r="K525" s="1" t="s">
        <v>74</v>
      </c>
      <c r="L525" s="1" t="s">
        <v>74</v>
      </c>
      <c r="M525" s="1" t="s">
        <v>74</v>
      </c>
      <c r="N525" s="1" t="s">
        <v>74</v>
      </c>
      <c r="O525" s="1" t="s">
        <v>74</v>
      </c>
      <c r="P525" s="1" t="s">
        <v>74</v>
      </c>
      <c r="Q525" s="1" t="s">
        <v>74</v>
      </c>
      <c r="R525" s="1" t="s">
        <v>74</v>
      </c>
      <c r="S525" s="1" t="s">
        <v>74</v>
      </c>
      <c r="T525" s="1" t="s">
        <v>74</v>
      </c>
      <c r="U525" s="1" t="s">
        <v>74</v>
      </c>
      <c r="V525" s="1" t="s">
        <v>5441</v>
      </c>
      <c r="W525" s="1" t="s">
        <v>74</v>
      </c>
      <c r="X525" s="1" t="s">
        <v>74</v>
      </c>
      <c r="Y525" s="1" t="s">
        <v>74</v>
      </c>
      <c r="Z525" s="1" t="s">
        <v>74</v>
      </c>
      <c r="AA525" s="1" t="s">
        <v>5442</v>
      </c>
      <c r="AB525" s="1" t="s">
        <v>5443</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2259</v>
      </c>
      <c r="AP525" s="1" t="s">
        <v>2260</v>
      </c>
      <c r="AQ525" s="1" t="s">
        <v>74</v>
      </c>
      <c r="AR525" s="1" t="s">
        <v>74</v>
      </c>
      <c r="AS525" s="1" t="s">
        <v>74</v>
      </c>
      <c r="AT525" s="1" t="s">
        <v>189</v>
      </c>
      <c r="AU525" s="1">
        <v>2024.0</v>
      </c>
      <c r="AV525" s="1">
        <v>50.0</v>
      </c>
      <c r="AW525" s="1">
        <v>23.0</v>
      </c>
      <c r="AX525" s="1" t="s">
        <v>2882</v>
      </c>
      <c r="AY525" s="1" t="s">
        <v>74</v>
      </c>
      <c r="AZ525" s="1" t="s">
        <v>74</v>
      </c>
      <c r="BA525" s="1" t="s">
        <v>74</v>
      </c>
      <c r="BB525" s="1">
        <v>50504.0</v>
      </c>
      <c r="BC525" s="1">
        <v>50515.0</v>
      </c>
      <c r="BD525" s="1" t="s">
        <v>74</v>
      </c>
      <c r="BE525" s="1" t="s">
        <v>5444</v>
      </c>
      <c r="BF525" s="2" t="str">
        <f>HYPERLINK("http://dx.doi.org/10.1016/j.ceramint.2024.09.396","http://dx.doi.org/10.1016/j.ceramint.2024.09.396")</f>
        <v>http://dx.doi.org/10.1016/j.ceramint.2024.09.396</v>
      </c>
      <c r="BG525" s="1" t="s">
        <v>74</v>
      </c>
      <c r="BH525" s="1" t="s">
        <v>5445</v>
      </c>
      <c r="BI525" s="1" t="s">
        <v>74</v>
      </c>
      <c r="BJ525" s="1" t="s">
        <v>74</v>
      </c>
      <c r="BK525" s="1" t="s">
        <v>74</v>
      </c>
      <c r="BL525" s="1" t="s">
        <v>74</v>
      </c>
      <c r="BM525" s="1" t="s">
        <v>74</v>
      </c>
      <c r="BN525" s="1" t="s">
        <v>74</v>
      </c>
      <c r="BO525" s="1" t="s">
        <v>74</v>
      </c>
      <c r="BP525" s="1" t="s">
        <v>74</v>
      </c>
      <c r="BQ525" s="1" t="s">
        <v>74</v>
      </c>
      <c r="BR525" s="1" t="s">
        <v>74</v>
      </c>
      <c r="BS525" s="1" t="s">
        <v>5446</v>
      </c>
      <c r="BT525" s="1" t="str">
        <f>HYPERLINK("https%3A%2F%2Fwww.webofscience.com%2Fwos%2Fwoscc%2Ffull-record%2FWOS:001361710000001","View Full Record in Web of Science")</f>
        <v>View Full Record in Web of Science</v>
      </c>
    </row>
    <row r="526" ht="12.75" customHeight="1">
      <c r="A526" s="1" t="s">
        <v>72</v>
      </c>
      <c r="B526" s="1" t="s">
        <v>5447</v>
      </c>
      <c r="C526" s="1" t="s">
        <v>74</v>
      </c>
      <c r="D526" s="1" t="s">
        <v>74</v>
      </c>
      <c r="E526" s="1" t="s">
        <v>74</v>
      </c>
      <c r="F526" s="1" t="s">
        <v>5448</v>
      </c>
      <c r="G526" s="1" t="s">
        <v>74</v>
      </c>
      <c r="H526" s="1" t="s">
        <v>74</v>
      </c>
      <c r="I526" s="1" t="s">
        <v>5449</v>
      </c>
      <c r="J526" s="1" t="s">
        <v>5450</v>
      </c>
      <c r="K526" s="1" t="s">
        <v>74</v>
      </c>
      <c r="L526" s="1" t="s">
        <v>74</v>
      </c>
      <c r="M526" s="1" t="s">
        <v>74</v>
      </c>
      <c r="N526" s="1" t="s">
        <v>74</v>
      </c>
      <c r="O526" s="1" t="s">
        <v>74</v>
      </c>
      <c r="P526" s="1" t="s">
        <v>74</v>
      </c>
      <c r="Q526" s="1" t="s">
        <v>74</v>
      </c>
      <c r="R526" s="1" t="s">
        <v>74</v>
      </c>
      <c r="S526" s="1" t="s">
        <v>74</v>
      </c>
      <c r="T526" s="1" t="s">
        <v>74</v>
      </c>
      <c r="U526" s="1" t="s">
        <v>74</v>
      </c>
      <c r="V526" s="1" t="s">
        <v>5451</v>
      </c>
      <c r="W526" s="1" t="s">
        <v>74</v>
      </c>
      <c r="X526" s="1" t="s">
        <v>74</v>
      </c>
      <c r="Y526" s="1" t="s">
        <v>74</v>
      </c>
      <c r="Z526" s="1" t="s">
        <v>74</v>
      </c>
      <c r="AA526" s="1" t="s">
        <v>5452</v>
      </c>
      <c r="AB526" s="1" t="s">
        <v>5453</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5454</v>
      </c>
      <c r="AP526" s="1" t="s">
        <v>5455</v>
      </c>
      <c r="AQ526" s="1" t="s">
        <v>74</v>
      </c>
      <c r="AR526" s="1" t="s">
        <v>74</v>
      </c>
      <c r="AS526" s="1" t="s">
        <v>74</v>
      </c>
      <c r="AT526" s="1" t="s">
        <v>447</v>
      </c>
      <c r="AU526" s="1">
        <v>2024.0</v>
      </c>
      <c r="AV526" s="1">
        <v>185.0</v>
      </c>
      <c r="AW526" s="1" t="s">
        <v>74</v>
      </c>
      <c r="AX526" s="1" t="s">
        <v>74</v>
      </c>
      <c r="AY526" s="1" t="s">
        <v>74</v>
      </c>
      <c r="AZ526" s="1" t="s">
        <v>74</v>
      </c>
      <c r="BA526" s="1" t="s">
        <v>74</v>
      </c>
      <c r="BB526" s="1" t="s">
        <v>74</v>
      </c>
      <c r="BC526" s="1" t="s">
        <v>74</v>
      </c>
      <c r="BD526" s="1">
        <v>115126.0</v>
      </c>
      <c r="BE526" s="1" t="s">
        <v>5456</v>
      </c>
      <c r="BF526" s="2" t="str">
        <f>HYPERLINK("http://dx.doi.org/10.1016/j.chaos.2024.115126","http://dx.doi.org/10.1016/j.chaos.2024.115126")</f>
        <v>http://dx.doi.org/10.1016/j.chaos.2024.115126</v>
      </c>
      <c r="BG526" s="1" t="s">
        <v>74</v>
      </c>
      <c r="BH526" s="1" t="s">
        <v>702</v>
      </c>
      <c r="BI526" s="1" t="s">
        <v>74</v>
      </c>
      <c r="BJ526" s="1" t="s">
        <v>74</v>
      </c>
      <c r="BK526" s="1" t="s">
        <v>74</v>
      </c>
      <c r="BL526" s="1" t="s">
        <v>74</v>
      </c>
      <c r="BM526" s="1" t="s">
        <v>74</v>
      </c>
      <c r="BN526" s="1" t="s">
        <v>74</v>
      </c>
      <c r="BO526" s="1" t="s">
        <v>74</v>
      </c>
      <c r="BP526" s="1" t="s">
        <v>74</v>
      </c>
      <c r="BQ526" s="1" t="s">
        <v>74</v>
      </c>
      <c r="BR526" s="1" t="s">
        <v>74</v>
      </c>
      <c r="BS526" s="1" t="s">
        <v>5457</v>
      </c>
      <c r="BT526" s="1" t="str">
        <f>HYPERLINK("https%3A%2F%2Fwww.webofscience.com%2Fwos%2Fwoscc%2Ffull-record%2FWOS:001257839100001","View Full Record in Web of Science")</f>
        <v>View Full Record in Web of Science</v>
      </c>
    </row>
    <row r="527" ht="12.75" customHeight="1">
      <c r="A527" s="1" t="s">
        <v>72</v>
      </c>
      <c r="B527" s="1" t="s">
        <v>5458</v>
      </c>
      <c r="C527" s="1" t="s">
        <v>74</v>
      </c>
      <c r="D527" s="1" t="s">
        <v>74</v>
      </c>
      <c r="E527" s="1" t="s">
        <v>74</v>
      </c>
      <c r="F527" s="1" t="s">
        <v>5459</v>
      </c>
      <c r="G527" s="1" t="s">
        <v>74</v>
      </c>
      <c r="H527" s="1" t="s">
        <v>74</v>
      </c>
      <c r="I527" s="1" t="s">
        <v>5460</v>
      </c>
      <c r="J527" s="1" t="s">
        <v>1561</v>
      </c>
      <c r="K527" s="1" t="s">
        <v>74</v>
      </c>
      <c r="L527" s="1" t="s">
        <v>74</v>
      </c>
      <c r="M527" s="1" t="s">
        <v>74</v>
      </c>
      <c r="N527" s="1" t="s">
        <v>74</v>
      </c>
      <c r="O527" s="1" t="s">
        <v>74</v>
      </c>
      <c r="P527" s="1" t="s">
        <v>74</v>
      </c>
      <c r="Q527" s="1" t="s">
        <v>74</v>
      </c>
      <c r="R527" s="1" t="s">
        <v>74</v>
      </c>
      <c r="S527" s="1" t="s">
        <v>74</v>
      </c>
      <c r="T527" s="1" t="s">
        <v>74</v>
      </c>
      <c r="U527" s="1" t="s">
        <v>74</v>
      </c>
      <c r="V527" s="1" t="s">
        <v>5461</v>
      </c>
      <c r="W527" s="1" t="s">
        <v>74</v>
      </c>
      <c r="X527" s="1" t="s">
        <v>74</v>
      </c>
      <c r="Y527" s="1" t="s">
        <v>74</v>
      </c>
      <c r="Z527" s="1" t="s">
        <v>74</v>
      </c>
      <c r="AA527" s="1" t="s">
        <v>5462</v>
      </c>
      <c r="AB527" s="1" t="s">
        <v>5463</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1565</v>
      </c>
      <c r="AP527" s="1" t="s">
        <v>74</v>
      </c>
      <c r="AQ527" s="1" t="s">
        <v>74</v>
      </c>
      <c r="AR527" s="1" t="s">
        <v>74</v>
      </c>
      <c r="AS527" s="1" t="s">
        <v>74</v>
      </c>
      <c r="AT527" s="1" t="s">
        <v>1823</v>
      </c>
      <c r="AU527" s="1">
        <v>2022.0</v>
      </c>
      <c r="AV527" s="1">
        <v>12.0</v>
      </c>
      <c r="AW527" s="1" t="s">
        <v>74</v>
      </c>
      <c r="AX527" s="1" t="s">
        <v>74</v>
      </c>
      <c r="AY527" s="1" t="s">
        <v>74</v>
      </c>
      <c r="AZ527" s="1" t="s">
        <v>74</v>
      </c>
      <c r="BA527" s="1" t="s">
        <v>74</v>
      </c>
      <c r="BB527" s="1" t="s">
        <v>74</v>
      </c>
      <c r="BC527" s="1" t="s">
        <v>74</v>
      </c>
      <c r="BD527" s="1">
        <v>766278.0</v>
      </c>
      <c r="BE527" s="1" t="s">
        <v>5464</v>
      </c>
      <c r="BF527" s="2" t="str">
        <f>HYPERLINK("http://dx.doi.org/10.3389/fimmu.2021.766278","http://dx.doi.org/10.3389/fimmu.2021.766278")</f>
        <v>http://dx.doi.org/10.3389/fimmu.2021.766278</v>
      </c>
      <c r="BG527" s="1" t="s">
        <v>74</v>
      </c>
      <c r="BH527" s="1" t="s">
        <v>74</v>
      </c>
      <c r="BI527" s="1" t="s">
        <v>74</v>
      </c>
      <c r="BJ527" s="1" t="s">
        <v>74</v>
      </c>
      <c r="BK527" s="1" t="s">
        <v>74</v>
      </c>
      <c r="BL527" s="1" t="s">
        <v>74</v>
      </c>
      <c r="BM527" s="1" t="s">
        <v>74</v>
      </c>
      <c r="BN527" s="1">
        <v>3.5173705E7</v>
      </c>
      <c r="BO527" s="1" t="s">
        <v>74</v>
      </c>
      <c r="BP527" s="1" t="s">
        <v>74</v>
      </c>
      <c r="BQ527" s="1" t="s">
        <v>74</v>
      </c>
      <c r="BR527" s="1" t="s">
        <v>74</v>
      </c>
      <c r="BS527" s="1" t="s">
        <v>5465</v>
      </c>
      <c r="BT527" s="1" t="str">
        <f>HYPERLINK("https%3A%2F%2Fwww.webofscience.com%2Fwos%2Fwoscc%2Ffull-record%2FWOS:000756934800001","View Full Record in Web of Science")</f>
        <v>View Full Record in Web of Science</v>
      </c>
    </row>
    <row r="528" ht="12.75" customHeight="1">
      <c r="A528" s="1" t="s">
        <v>72</v>
      </c>
      <c r="B528" s="1" t="s">
        <v>5466</v>
      </c>
      <c r="C528" s="1" t="s">
        <v>74</v>
      </c>
      <c r="D528" s="1" t="s">
        <v>74</v>
      </c>
      <c r="E528" s="1" t="s">
        <v>74</v>
      </c>
      <c r="F528" s="1" t="s">
        <v>5467</v>
      </c>
      <c r="G528" s="1" t="s">
        <v>74</v>
      </c>
      <c r="H528" s="1" t="s">
        <v>74</v>
      </c>
      <c r="I528" s="1" t="s">
        <v>5468</v>
      </c>
      <c r="J528" s="1" t="s">
        <v>5469</v>
      </c>
      <c r="K528" s="1" t="s">
        <v>74</v>
      </c>
      <c r="L528" s="1" t="s">
        <v>74</v>
      </c>
      <c r="M528" s="1" t="s">
        <v>74</v>
      </c>
      <c r="N528" s="1" t="s">
        <v>74</v>
      </c>
      <c r="O528" s="1" t="s">
        <v>74</v>
      </c>
      <c r="P528" s="1" t="s">
        <v>74</v>
      </c>
      <c r="Q528" s="1" t="s">
        <v>74</v>
      </c>
      <c r="R528" s="1" t="s">
        <v>74</v>
      </c>
      <c r="S528" s="1" t="s">
        <v>74</v>
      </c>
      <c r="T528" s="1" t="s">
        <v>74</v>
      </c>
      <c r="U528" s="1" t="s">
        <v>74</v>
      </c>
      <c r="V528" s="1" t="s">
        <v>5470</v>
      </c>
      <c r="W528" s="1" t="s">
        <v>74</v>
      </c>
      <c r="X528" s="1" t="s">
        <v>74</v>
      </c>
      <c r="Y528" s="1" t="s">
        <v>74</v>
      </c>
      <c r="Z528" s="1" t="s">
        <v>74</v>
      </c>
      <c r="AA528" s="1" t="s">
        <v>5471</v>
      </c>
      <c r="AB528" s="1" t="s">
        <v>5472</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5473</v>
      </c>
      <c r="AP528" s="1" t="s">
        <v>74</v>
      </c>
      <c r="AQ528" s="1" t="s">
        <v>74</v>
      </c>
      <c r="AR528" s="1" t="s">
        <v>74</v>
      </c>
      <c r="AS528" s="1" t="s">
        <v>74</v>
      </c>
      <c r="AT528" s="1" t="s">
        <v>745</v>
      </c>
      <c r="AU528" s="1">
        <v>2020.0</v>
      </c>
      <c r="AV528" s="1">
        <v>13.0</v>
      </c>
      <c r="AW528" s="1">
        <v>4.0</v>
      </c>
      <c r="AX528" s="1" t="s">
        <v>74</v>
      </c>
      <c r="AY528" s="1" t="s">
        <v>74</v>
      </c>
      <c r="AZ528" s="1" t="s">
        <v>74</v>
      </c>
      <c r="BA528" s="1" t="s">
        <v>74</v>
      </c>
      <c r="BB528" s="1">
        <v>1012.0</v>
      </c>
      <c r="BC528" s="1">
        <v>1025.0</v>
      </c>
      <c r="BD528" s="1" t="s">
        <v>74</v>
      </c>
      <c r="BE528" s="1" t="s">
        <v>5474</v>
      </c>
      <c r="BF528" s="2" t="str">
        <f>HYPERLINK("http://dx.doi.org/10.1111/1751-7915.13545","http://dx.doi.org/10.1111/1751-7915.13545")</f>
        <v>http://dx.doi.org/10.1111/1751-7915.13545</v>
      </c>
      <c r="BG528" s="1" t="s">
        <v>74</v>
      </c>
      <c r="BH528" s="1" t="s">
        <v>1734</v>
      </c>
      <c r="BI528" s="1" t="s">
        <v>74</v>
      </c>
      <c r="BJ528" s="1" t="s">
        <v>74</v>
      </c>
      <c r="BK528" s="1" t="s">
        <v>74</v>
      </c>
      <c r="BL528" s="1" t="s">
        <v>74</v>
      </c>
      <c r="BM528" s="1" t="s">
        <v>74</v>
      </c>
      <c r="BN528" s="1">
        <v>3.2096913E7</v>
      </c>
      <c r="BO528" s="1" t="s">
        <v>74</v>
      </c>
      <c r="BP528" s="1" t="s">
        <v>74</v>
      </c>
      <c r="BQ528" s="1" t="s">
        <v>74</v>
      </c>
      <c r="BR528" s="1" t="s">
        <v>74</v>
      </c>
      <c r="BS528" s="1" t="s">
        <v>5475</v>
      </c>
      <c r="BT528" s="1" t="str">
        <f>HYPERLINK("https%3A%2F%2Fwww.webofscience.com%2Fwos%2Fwoscc%2Ffull-record%2FWOS:000515437000001","View Full Record in Web of Science")</f>
        <v>View Full Record in Web of Science</v>
      </c>
    </row>
    <row r="529" ht="12.75" customHeight="1">
      <c r="A529" s="1" t="s">
        <v>72</v>
      </c>
      <c r="B529" s="1" t="s">
        <v>5476</v>
      </c>
      <c r="C529" s="1" t="s">
        <v>74</v>
      </c>
      <c r="D529" s="1" t="s">
        <v>74</v>
      </c>
      <c r="E529" s="1" t="s">
        <v>74</v>
      </c>
      <c r="F529" s="1" t="s">
        <v>5477</v>
      </c>
      <c r="G529" s="1" t="s">
        <v>74</v>
      </c>
      <c r="H529" s="1" t="s">
        <v>74</v>
      </c>
      <c r="I529" s="1" t="s">
        <v>5478</v>
      </c>
      <c r="J529" s="1" t="s">
        <v>5479</v>
      </c>
      <c r="K529" s="1" t="s">
        <v>74</v>
      </c>
      <c r="L529" s="1" t="s">
        <v>74</v>
      </c>
      <c r="M529" s="1" t="s">
        <v>74</v>
      </c>
      <c r="N529" s="1" t="s">
        <v>74</v>
      </c>
      <c r="O529" s="1" t="s">
        <v>74</v>
      </c>
      <c r="P529" s="1" t="s">
        <v>74</v>
      </c>
      <c r="Q529" s="1" t="s">
        <v>74</v>
      </c>
      <c r="R529" s="1" t="s">
        <v>74</v>
      </c>
      <c r="S529" s="1" t="s">
        <v>74</v>
      </c>
      <c r="T529" s="1" t="s">
        <v>74</v>
      </c>
      <c r="U529" s="1" t="s">
        <v>74</v>
      </c>
      <c r="V529" s="1" t="s">
        <v>5480</v>
      </c>
      <c r="W529" s="1" t="s">
        <v>74</v>
      </c>
      <c r="X529" s="1" t="s">
        <v>74</v>
      </c>
      <c r="Y529" s="1" t="s">
        <v>74</v>
      </c>
      <c r="Z529" s="1" t="s">
        <v>74</v>
      </c>
      <c r="AA529" s="1" t="s">
        <v>5481</v>
      </c>
      <c r="AB529" s="1" t="s">
        <v>5482</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5483</v>
      </c>
      <c r="AP529" s="1" t="s">
        <v>74</v>
      </c>
      <c r="AQ529" s="1" t="s">
        <v>74</v>
      </c>
      <c r="AR529" s="1" t="s">
        <v>74</v>
      </c>
      <c r="AS529" s="1" t="s">
        <v>74</v>
      </c>
      <c r="AT529" s="1" t="s">
        <v>2179</v>
      </c>
      <c r="AU529" s="1">
        <v>2016.0</v>
      </c>
      <c r="AV529" s="1">
        <v>10.0</v>
      </c>
      <c r="AW529" s="1" t="s">
        <v>74</v>
      </c>
      <c r="AX529" s="1" t="s">
        <v>74</v>
      </c>
      <c r="AY529" s="1" t="s">
        <v>74</v>
      </c>
      <c r="AZ529" s="1" t="s">
        <v>74</v>
      </c>
      <c r="BA529" s="1" t="s">
        <v>74</v>
      </c>
      <c r="BB529" s="1" t="s">
        <v>74</v>
      </c>
      <c r="BC529" s="1" t="s">
        <v>74</v>
      </c>
      <c r="BD529" s="1">
        <v>488.0</v>
      </c>
      <c r="BE529" s="1" t="s">
        <v>5484</v>
      </c>
      <c r="BF529" s="2" t="str">
        <f>HYPERLINK("http://dx.doi.org/10.3389/fnins.2016.00488","http://dx.doi.org/10.3389/fnins.2016.00488")</f>
        <v>http://dx.doi.org/10.3389/fnins.2016.00488</v>
      </c>
      <c r="BG529" s="1" t="s">
        <v>74</v>
      </c>
      <c r="BH529" s="1" t="s">
        <v>74</v>
      </c>
      <c r="BI529" s="1" t="s">
        <v>74</v>
      </c>
      <c r="BJ529" s="1" t="s">
        <v>74</v>
      </c>
      <c r="BK529" s="1" t="s">
        <v>74</v>
      </c>
      <c r="BL529" s="1" t="s">
        <v>74</v>
      </c>
      <c r="BM529" s="1" t="s">
        <v>74</v>
      </c>
      <c r="BN529" s="1">
        <v>2.7877101E7</v>
      </c>
      <c r="BO529" s="1" t="s">
        <v>74</v>
      </c>
      <c r="BP529" s="1" t="s">
        <v>74</v>
      </c>
      <c r="BQ529" s="1" t="s">
        <v>74</v>
      </c>
      <c r="BR529" s="1" t="s">
        <v>74</v>
      </c>
      <c r="BS529" s="1" t="s">
        <v>5485</v>
      </c>
      <c r="BT529" s="1" t="str">
        <f>HYPERLINK("https%3A%2F%2Fwww.webofscience.com%2Fwos%2Fwoscc%2Ffull-record%2FWOS:000387105700001","View Full Record in Web of Science")</f>
        <v>View Full Record in Web of Science</v>
      </c>
    </row>
    <row r="530" ht="12.75" customHeight="1">
      <c r="A530" s="1" t="s">
        <v>72</v>
      </c>
      <c r="B530" s="1" t="s">
        <v>5486</v>
      </c>
      <c r="C530" s="1" t="s">
        <v>74</v>
      </c>
      <c r="D530" s="1" t="s">
        <v>74</v>
      </c>
      <c r="E530" s="1" t="s">
        <v>74</v>
      </c>
      <c r="F530" s="1" t="s">
        <v>5487</v>
      </c>
      <c r="G530" s="1" t="s">
        <v>74</v>
      </c>
      <c r="H530" s="1" t="s">
        <v>74</v>
      </c>
      <c r="I530" s="1" t="s">
        <v>5488</v>
      </c>
      <c r="J530" s="1" t="s">
        <v>2845</v>
      </c>
      <c r="K530" s="1" t="s">
        <v>74</v>
      </c>
      <c r="L530" s="1" t="s">
        <v>74</v>
      </c>
      <c r="M530" s="1" t="s">
        <v>74</v>
      </c>
      <c r="N530" s="1" t="s">
        <v>74</v>
      </c>
      <c r="O530" s="1" t="s">
        <v>74</v>
      </c>
      <c r="P530" s="1" t="s">
        <v>74</v>
      </c>
      <c r="Q530" s="1" t="s">
        <v>74</v>
      </c>
      <c r="R530" s="1" t="s">
        <v>74</v>
      </c>
      <c r="S530" s="1" t="s">
        <v>74</v>
      </c>
      <c r="T530" s="1" t="s">
        <v>74</v>
      </c>
      <c r="U530" s="1" t="s">
        <v>74</v>
      </c>
      <c r="V530" s="1" t="s">
        <v>5489</v>
      </c>
      <c r="W530" s="1" t="s">
        <v>74</v>
      </c>
      <c r="X530" s="1" t="s">
        <v>74</v>
      </c>
      <c r="Y530" s="1" t="s">
        <v>74</v>
      </c>
      <c r="Z530" s="1" t="s">
        <v>74</v>
      </c>
      <c r="AA530" s="1" t="s">
        <v>5490</v>
      </c>
      <c r="AB530" s="1" t="s">
        <v>5491</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2849</v>
      </c>
      <c r="AP530" s="1" t="s">
        <v>2850</v>
      </c>
      <c r="AQ530" s="1" t="s">
        <v>74</v>
      </c>
      <c r="AR530" s="1" t="s">
        <v>74</v>
      </c>
      <c r="AS530" s="1" t="s">
        <v>74</v>
      </c>
      <c r="AT530" s="1" t="s">
        <v>2851</v>
      </c>
      <c r="AU530" s="1">
        <v>2016.0</v>
      </c>
      <c r="AV530" s="1">
        <v>192.0</v>
      </c>
      <c r="AW530" s="1" t="s">
        <v>74</v>
      </c>
      <c r="AX530" s="1" t="s">
        <v>74</v>
      </c>
      <c r="AY530" s="1" t="s">
        <v>74</v>
      </c>
      <c r="AZ530" s="1" t="s">
        <v>74</v>
      </c>
      <c r="BA530" s="1" t="s">
        <v>74</v>
      </c>
      <c r="BB530" s="1">
        <v>61.0</v>
      </c>
      <c r="BC530" s="1">
        <v>71.0</v>
      </c>
      <c r="BD530" s="1" t="s">
        <v>74</v>
      </c>
      <c r="BE530" s="1" t="s">
        <v>5492</v>
      </c>
      <c r="BF530" s="2" t="str">
        <f>HYPERLINK("http://dx.doi.org/10.1016/j.electacta.2016.01.132","http://dx.doi.org/10.1016/j.electacta.2016.01.132")</f>
        <v>http://dx.doi.org/10.1016/j.electacta.2016.01.132</v>
      </c>
      <c r="BG530" s="1" t="s">
        <v>74</v>
      </c>
      <c r="BH530" s="1" t="s">
        <v>74</v>
      </c>
      <c r="BI530" s="1" t="s">
        <v>74</v>
      </c>
      <c r="BJ530" s="1" t="s">
        <v>74</v>
      </c>
      <c r="BK530" s="1" t="s">
        <v>74</v>
      </c>
      <c r="BL530" s="1" t="s">
        <v>74</v>
      </c>
      <c r="BM530" s="1" t="s">
        <v>74</v>
      </c>
      <c r="BN530" s="1" t="s">
        <v>74</v>
      </c>
      <c r="BO530" s="1" t="s">
        <v>74</v>
      </c>
      <c r="BP530" s="1" t="s">
        <v>74</v>
      </c>
      <c r="BQ530" s="1" t="s">
        <v>74</v>
      </c>
      <c r="BR530" s="1" t="s">
        <v>74</v>
      </c>
      <c r="BS530" s="1" t="s">
        <v>5493</v>
      </c>
      <c r="BT530" s="1" t="str">
        <f>HYPERLINK("https%3A%2F%2Fwww.webofscience.com%2Fwos%2Fwoscc%2Ffull-record%2FWOS:000371143600009","View Full Record in Web of Science")</f>
        <v>View Full Record in Web of Science</v>
      </c>
    </row>
    <row r="531" ht="12.75" customHeight="1">
      <c r="A531" s="1" t="s">
        <v>72</v>
      </c>
      <c r="B531" s="1" t="s">
        <v>5494</v>
      </c>
      <c r="C531" s="1" t="s">
        <v>74</v>
      </c>
      <c r="D531" s="1" t="s">
        <v>74</v>
      </c>
      <c r="E531" s="1" t="s">
        <v>74</v>
      </c>
      <c r="F531" s="1" t="s">
        <v>5495</v>
      </c>
      <c r="G531" s="1" t="s">
        <v>74</v>
      </c>
      <c r="H531" s="1" t="s">
        <v>74</v>
      </c>
      <c r="I531" s="1" t="s">
        <v>5496</v>
      </c>
      <c r="J531" s="1" t="s">
        <v>5497</v>
      </c>
      <c r="K531" s="1" t="s">
        <v>74</v>
      </c>
      <c r="L531" s="1" t="s">
        <v>74</v>
      </c>
      <c r="M531" s="1" t="s">
        <v>74</v>
      </c>
      <c r="N531" s="1" t="s">
        <v>74</v>
      </c>
      <c r="O531" s="1" t="s">
        <v>74</v>
      </c>
      <c r="P531" s="1" t="s">
        <v>74</v>
      </c>
      <c r="Q531" s="1" t="s">
        <v>74</v>
      </c>
      <c r="R531" s="1" t="s">
        <v>74</v>
      </c>
      <c r="S531" s="1" t="s">
        <v>74</v>
      </c>
      <c r="T531" s="1" t="s">
        <v>74</v>
      </c>
      <c r="U531" s="1" t="s">
        <v>74</v>
      </c>
      <c r="V531" s="1" t="s">
        <v>5498</v>
      </c>
      <c r="W531" s="1" t="s">
        <v>74</v>
      </c>
      <c r="X531" s="1" t="s">
        <v>74</v>
      </c>
      <c r="Y531" s="1" t="s">
        <v>74</v>
      </c>
      <c r="Z531" s="1" t="s">
        <v>74</v>
      </c>
      <c r="AA531" s="1" t="s">
        <v>5499</v>
      </c>
      <c r="AB531" s="1" t="s">
        <v>5500</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5501</v>
      </c>
      <c r="AP531" s="1" t="s">
        <v>74</v>
      </c>
      <c r="AQ531" s="1" t="s">
        <v>74</v>
      </c>
      <c r="AR531" s="1" t="s">
        <v>74</v>
      </c>
      <c r="AS531" s="1" t="s">
        <v>74</v>
      </c>
      <c r="AT531" s="1" t="s">
        <v>5502</v>
      </c>
      <c r="AU531" s="1">
        <v>2020.0</v>
      </c>
      <c r="AV531" s="1">
        <v>11.0</v>
      </c>
      <c r="AW531" s="1" t="s">
        <v>74</v>
      </c>
      <c r="AX531" s="1" t="s">
        <v>74</v>
      </c>
      <c r="AY531" s="1" t="s">
        <v>74</v>
      </c>
      <c r="AZ531" s="1" t="s">
        <v>74</v>
      </c>
      <c r="BA531" s="1" t="s">
        <v>74</v>
      </c>
      <c r="BB531" s="1" t="s">
        <v>74</v>
      </c>
      <c r="BC531" s="1" t="s">
        <v>74</v>
      </c>
      <c r="BD531" s="1">
        <v>1178.0</v>
      </c>
      <c r="BE531" s="1" t="s">
        <v>5503</v>
      </c>
      <c r="BF531" s="2" t="str">
        <f>HYPERLINK("http://dx.doi.org/10.3389/fpls.2020.01178","http://dx.doi.org/10.3389/fpls.2020.01178")</f>
        <v>http://dx.doi.org/10.3389/fpls.2020.01178</v>
      </c>
      <c r="BG531" s="1" t="s">
        <v>74</v>
      </c>
      <c r="BH531" s="1" t="s">
        <v>74</v>
      </c>
      <c r="BI531" s="1" t="s">
        <v>74</v>
      </c>
      <c r="BJ531" s="1" t="s">
        <v>74</v>
      </c>
      <c r="BK531" s="1" t="s">
        <v>74</v>
      </c>
      <c r="BL531" s="1" t="s">
        <v>74</v>
      </c>
      <c r="BM531" s="1" t="s">
        <v>74</v>
      </c>
      <c r="BN531" s="1">
        <v>3.2922412E7</v>
      </c>
      <c r="BO531" s="1" t="s">
        <v>74</v>
      </c>
      <c r="BP531" s="1" t="s">
        <v>74</v>
      </c>
      <c r="BQ531" s="1" t="s">
        <v>74</v>
      </c>
      <c r="BR531" s="1" t="s">
        <v>74</v>
      </c>
      <c r="BS531" s="1" t="s">
        <v>5504</v>
      </c>
      <c r="BT531" s="1" t="str">
        <f>HYPERLINK("https%3A%2F%2Fwww.webofscience.com%2Fwos%2Fwoscc%2Ffull-record%2FWOS:000565334000001","View Full Record in Web of Science")</f>
        <v>View Full Record in Web of Science</v>
      </c>
    </row>
    <row r="532" ht="12.75" customHeight="1">
      <c r="A532" s="1" t="s">
        <v>72</v>
      </c>
      <c r="B532" s="1" t="s">
        <v>5505</v>
      </c>
      <c r="C532" s="1" t="s">
        <v>74</v>
      </c>
      <c r="D532" s="1" t="s">
        <v>74</v>
      </c>
      <c r="E532" s="1" t="s">
        <v>74</v>
      </c>
      <c r="F532" s="1" t="s">
        <v>5506</v>
      </c>
      <c r="G532" s="1" t="s">
        <v>74</v>
      </c>
      <c r="H532" s="1" t="s">
        <v>74</v>
      </c>
      <c r="I532" s="1" t="s">
        <v>5507</v>
      </c>
      <c r="J532" s="1" t="s">
        <v>5508</v>
      </c>
      <c r="K532" s="1" t="s">
        <v>74</v>
      </c>
      <c r="L532" s="1" t="s">
        <v>74</v>
      </c>
      <c r="M532" s="1" t="s">
        <v>74</v>
      </c>
      <c r="N532" s="1" t="s">
        <v>74</v>
      </c>
      <c r="O532" s="1" t="s">
        <v>74</v>
      </c>
      <c r="P532" s="1" t="s">
        <v>74</v>
      </c>
      <c r="Q532" s="1" t="s">
        <v>74</v>
      </c>
      <c r="R532" s="1" t="s">
        <v>74</v>
      </c>
      <c r="S532" s="1" t="s">
        <v>74</v>
      </c>
      <c r="T532" s="1" t="s">
        <v>74</v>
      </c>
      <c r="U532" s="1" t="s">
        <v>74</v>
      </c>
      <c r="V532" s="1" t="s">
        <v>5509</v>
      </c>
      <c r="W532" s="1" t="s">
        <v>74</v>
      </c>
      <c r="X532" s="1" t="s">
        <v>74</v>
      </c>
      <c r="Y532" s="1" t="s">
        <v>74</v>
      </c>
      <c r="Z532" s="1" t="s">
        <v>74</v>
      </c>
      <c r="AA532" s="1" t="s">
        <v>5510</v>
      </c>
      <c r="AB532" s="1" t="s">
        <v>5511</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74</v>
      </c>
      <c r="AP532" s="1" t="s">
        <v>5512</v>
      </c>
      <c r="AQ532" s="1" t="s">
        <v>74</v>
      </c>
      <c r="AR532" s="1" t="s">
        <v>74</v>
      </c>
      <c r="AS532" s="1" t="s">
        <v>74</v>
      </c>
      <c r="AT532" s="1" t="s">
        <v>2851</v>
      </c>
      <c r="AU532" s="1">
        <v>2020.0</v>
      </c>
      <c r="AV532" s="1">
        <v>7.0</v>
      </c>
      <c r="AW532" s="1" t="s">
        <v>74</v>
      </c>
      <c r="AX532" s="1" t="s">
        <v>74</v>
      </c>
      <c r="AY532" s="1" t="s">
        <v>74</v>
      </c>
      <c r="AZ532" s="1" t="s">
        <v>74</v>
      </c>
      <c r="BA532" s="1" t="s">
        <v>74</v>
      </c>
      <c r="BB532" s="1" t="s">
        <v>74</v>
      </c>
      <c r="BC532" s="1" t="s">
        <v>74</v>
      </c>
      <c r="BD532" s="1">
        <v>52.0</v>
      </c>
      <c r="BE532" s="1" t="s">
        <v>5513</v>
      </c>
      <c r="BF532" s="2" t="str">
        <f>HYPERLINK("http://dx.doi.org/10.3389/fmed.2020.00052","http://dx.doi.org/10.3389/fmed.2020.00052")</f>
        <v>http://dx.doi.org/10.3389/fmed.2020.00052</v>
      </c>
      <c r="BG532" s="1" t="s">
        <v>74</v>
      </c>
      <c r="BH532" s="1" t="s">
        <v>74</v>
      </c>
      <c r="BI532" s="1" t="s">
        <v>74</v>
      </c>
      <c r="BJ532" s="1" t="s">
        <v>74</v>
      </c>
      <c r="BK532" s="1" t="s">
        <v>74</v>
      </c>
      <c r="BL532" s="1" t="s">
        <v>74</v>
      </c>
      <c r="BM532" s="1" t="s">
        <v>74</v>
      </c>
      <c r="BN532" s="1">
        <v>3.2154258E7</v>
      </c>
      <c r="BO532" s="1" t="s">
        <v>74</v>
      </c>
      <c r="BP532" s="1" t="s">
        <v>74</v>
      </c>
      <c r="BQ532" s="1" t="s">
        <v>74</v>
      </c>
      <c r="BR532" s="1" t="s">
        <v>74</v>
      </c>
      <c r="BS532" s="1" t="s">
        <v>5514</v>
      </c>
      <c r="BT532" s="1" t="str">
        <f>HYPERLINK("https%3A%2F%2Fwww.webofscience.com%2Fwos%2Fwoscc%2Ffull-record%2FWOS:000518944300001","View Full Record in Web of Science")</f>
        <v>View Full Record in Web of Science</v>
      </c>
    </row>
    <row r="533" ht="12.75" customHeight="1">
      <c r="A533" s="1" t="s">
        <v>72</v>
      </c>
      <c r="B533" s="1" t="s">
        <v>5515</v>
      </c>
      <c r="C533" s="1" t="s">
        <v>74</v>
      </c>
      <c r="D533" s="1" t="s">
        <v>74</v>
      </c>
      <c r="E533" s="1" t="s">
        <v>74</v>
      </c>
      <c r="F533" s="1" t="s">
        <v>5516</v>
      </c>
      <c r="G533" s="1" t="s">
        <v>74</v>
      </c>
      <c r="H533" s="1" t="s">
        <v>74</v>
      </c>
      <c r="I533" s="1" t="s">
        <v>5517</v>
      </c>
      <c r="J533" s="1" t="s">
        <v>5518</v>
      </c>
      <c r="K533" s="1" t="s">
        <v>74</v>
      </c>
      <c r="L533" s="1" t="s">
        <v>74</v>
      </c>
      <c r="M533" s="1" t="s">
        <v>74</v>
      </c>
      <c r="N533" s="1" t="s">
        <v>74</v>
      </c>
      <c r="O533" s="1" t="s">
        <v>74</v>
      </c>
      <c r="P533" s="1" t="s">
        <v>74</v>
      </c>
      <c r="Q533" s="1" t="s">
        <v>74</v>
      </c>
      <c r="R533" s="1" t="s">
        <v>74</v>
      </c>
      <c r="S533" s="1" t="s">
        <v>74</v>
      </c>
      <c r="T533" s="1" t="s">
        <v>74</v>
      </c>
      <c r="U533" s="1" t="s">
        <v>74</v>
      </c>
      <c r="V533" s="1" t="s">
        <v>5519</v>
      </c>
      <c r="W533" s="1" t="s">
        <v>74</v>
      </c>
      <c r="X533" s="1" t="s">
        <v>74</v>
      </c>
      <c r="Y533" s="1" t="s">
        <v>74</v>
      </c>
      <c r="Z533" s="1" t="s">
        <v>74</v>
      </c>
      <c r="AA533" s="1" t="s">
        <v>5520</v>
      </c>
      <c r="AB533" s="1" t="s">
        <v>5521</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5522</v>
      </c>
      <c r="AP533" s="1" t="s">
        <v>5523</v>
      </c>
      <c r="AQ533" s="1" t="s">
        <v>74</v>
      </c>
      <c r="AR533" s="1" t="s">
        <v>74</v>
      </c>
      <c r="AS533" s="1" t="s">
        <v>74</v>
      </c>
      <c r="AT533" s="1" t="s">
        <v>94</v>
      </c>
      <c r="AU533" s="1">
        <v>2012.0</v>
      </c>
      <c r="AV533" s="1">
        <v>111.0</v>
      </c>
      <c r="AW533" s="1">
        <v>6.0</v>
      </c>
      <c r="AX533" s="1" t="s">
        <v>74</v>
      </c>
      <c r="AY533" s="1" t="s">
        <v>74</v>
      </c>
      <c r="AZ533" s="1" t="s">
        <v>74</v>
      </c>
      <c r="BA533" s="1" t="s">
        <v>74</v>
      </c>
      <c r="BB533" s="1">
        <v>371.0</v>
      </c>
      <c r="BC533" s="1">
        <v>379.0</v>
      </c>
      <c r="BD533" s="1" t="s">
        <v>74</v>
      </c>
      <c r="BE533" s="1" t="s">
        <v>5524</v>
      </c>
      <c r="BF533" s="2" t="str">
        <f>HYPERLINK("http://dx.doi.org/10.1111/j.1742-7843.2012.00926.x","http://dx.doi.org/10.1111/j.1742-7843.2012.00926.x")</f>
        <v>http://dx.doi.org/10.1111/j.1742-7843.2012.00926.x</v>
      </c>
      <c r="BG533" s="1" t="s">
        <v>74</v>
      </c>
      <c r="BH533" s="1" t="s">
        <v>74</v>
      </c>
      <c r="BI533" s="1" t="s">
        <v>74</v>
      </c>
      <c r="BJ533" s="1" t="s">
        <v>74</v>
      </c>
      <c r="BK533" s="1" t="s">
        <v>74</v>
      </c>
      <c r="BL533" s="1" t="s">
        <v>74</v>
      </c>
      <c r="BM533" s="1" t="s">
        <v>74</v>
      </c>
      <c r="BN533" s="1">
        <v>2.2788961E7</v>
      </c>
      <c r="BO533" s="1" t="s">
        <v>74</v>
      </c>
      <c r="BP533" s="1" t="s">
        <v>74</v>
      </c>
      <c r="BQ533" s="1" t="s">
        <v>74</v>
      </c>
      <c r="BR533" s="1" t="s">
        <v>74</v>
      </c>
      <c r="BS533" s="1" t="s">
        <v>5525</v>
      </c>
      <c r="BT533" s="1" t="str">
        <f>HYPERLINK("https%3A%2F%2Fwww.webofscience.com%2Fwos%2Fwoscc%2Ffull-record%2FWOS:000311055700004","View Full Record in Web of Science")</f>
        <v>View Full Record in Web of Science</v>
      </c>
    </row>
    <row r="534" ht="12.75" customHeight="1">
      <c r="A534" s="1" t="s">
        <v>72</v>
      </c>
      <c r="B534" s="1" t="s">
        <v>5526</v>
      </c>
      <c r="C534" s="1" t="s">
        <v>74</v>
      </c>
      <c r="D534" s="1" t="s">
        <v>74</v>
      </c>
      <c r="E534" s="1" t="s">
        <v>74</v>
      </c>
      <c r="F534" s="1" t="s">
        <v>5527</v>
      </c>
      <c r="G534" s="1" t="s">
        <v>74</v>
      </c>
      <c r="H534" s="1" t="s">
        <v>74</v>
      </c>
      <c r="I534" s="1" t="s">
        <v>5528</v>
      </c>
      <c r="J534" s="1" t="s">
        <v>1024</v>
      </c>
      <c r="K534" s="1" t="s">
        <v>74</v>
      </c>
      <c r="L534" s="1" t="s">
        <v>74</v>
      </c>
      <c r="M534" s="1" t="s">
        <v>74</v>
      </c>
      <c r="N534" s="1" t="s">
        <v>74</v>
      </c>
      <c r="O534" s="1" t="s">
        <v>74</v>
      </c>
      <c r="P534" s="1" t="s">
        <v>74</v>
      </c>
      <c r="Q534" s="1" t="s">
        <v>74</v>
      </c>
      <c r="R534" s="1" t="s">
        <v>74</v>
      </c>
      <c r="S534" s="1" t="s">
        <v>74</v>
      </c>
      <c r="T534" s="1" t="s">
        <v>74</v>
      </c>
      <c r="U534" s="1" t="s">
        <v>74</v>
      </c>
      <c r="V534" s="1" t="s">
        <v>5529</v>
      </c>
      <c r="W534" s="1" t="s">
        <v>74</v>
      </c>
      <c r="X534" s="1" t="s">
        <v>74</v>
      </c>
      <c r="Y534" s="1" t="s">
        <v>74</v>
      </c>
      <c r="Z534" s="1" t="s">
        <v>74</v>
      </c>
      <c r="AA534" s="1" t="s">
        <v>5530</v>
      </c>
      <c r="AB534" s="1" t="s">
        <v>5531</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1028</v>
      </c>
      <c r="AP534" s="1" t="s">
        <v>1029</v>
      </c>
      <c r="AQ534" s="1" t="s">
        <v>74</v>
      </c>
      <c r="AR534" s="1" t="s">
        <v>74</v>
      </c>
      <c r="AS534" s="1" t="s">
        <v>74</v>
      </c>
      <c r="AT534" s="1" t="s">
        <v>1555</v>
      </c>
      <c r="AU534" s="1">
        <v>2023.0</v>
      </c>
      <c r="AV534" s="1">
        <v>526.0</v>
      </c>
      <c r="AW534" s="1">
        <v>1.0</v>
      </c>
      <c r="AX534" s="1" t="s">
        <v>74</v>
      </c>
      <c r="AY534" s="1" t="s">
        <v>74</v>
      </c>
      <c r="AZ534" s="1" t="s">
        <v>74</v>
      </c>
      <c r="BA534" s="1" t="s">
        <v>74</v>
      </c>
      <c r="BB534" s="1">
        <v>1545.0</v>
      </c>
      <c r="BC534" s="1">
        <v>1558.0</v>
      </c>
      <c r="BD534" s="1" t="s">
        <v>74</v>
      </c>
      <c r="BE534" s="1" t="s">
        <v>5532</v>
      </c>
      <c r="BF534" s="2" t="str">
        <f>HYPERLINK("http://dx.doi.org/10.1093/mnras/stad1981","http://dx.doi.org/10.1093/mnras/stad1981")</f>
        <v>http://dx.doi.org/10.1093/mnras/stad1981</v>
      </c>
      <c r="BG534" s="1" t="s">
        <v>74</v>
      </c>
      <c r="BH534" s="1" t="s">
        <v>314</v>
      </c>
      <c r="BI534" s="1" t="s">
        <v>74</v>
      </c>
      <c r="BJ534" s="1" t="s">
        <v>74</v>
      </c>
      <c r="BK534" s="1" t="s">
        <v>74</v>
      </c>
      <c r="BL534" s="1" t="s">
        <v>74</v>
      </c>
      <c r="BM534" s="1" t="s">
        <v>74</v>
      </c>
      <c r="BN534" s="1" t="s">
        <v>74</v>
      </c>
      <c r="BO534" s="1" t="s">
        <v>74</v>
      </c>
      <c r="BP534" s="1" t="s">
        <v>74</v>
      </c>
      <c r="BQ534" s="1" t="s">
        <v>74</v>
      </c>
      <c r="BR534" s="1" t="s">
        <v>74</v>
      </c>
      <c r="BS534" s="1" t="s">
        <v>5533</v>
      </c>
      <c r="BT534" s="1" t="str">
        <f>HYPERLINK("https%3A%2F%2Fwww.webofscience.com%2Fwos%2Fwoscc%2Ffull-record%2FWOS:001078240400001","View Full Record in Web of Science")</f>
        <v>View Full Record in Web of Science</v>
      </c>
    </row>
    <row r="535" ht="12.75" customHeight="1">
      <c r="A535" s="1" t="s">
        <v>72</v>
      </c>
      <c r="B535" s="1" t="s">
        <v>5534</v>
      </c>
      <c r="C535" s="1" t="s">
        <v>74</v>
      </c>
      <c r="D535" s="1" t="s">
        <v>74</v>
      </c>
      <c r="E535" s="1" t="s">
        <v>74</v>
      </c>
      <c r="F535" s="1" t="s">
        <v>5535</v>
      </c>
      <c r="G535" s="1" t="s">
        <v>74</v>
      </c>
      <c r="H535" s="1" t="s">
        <v>74</v>
      </c>
      <c r="I535" s="1" t="s">
        <v>5536</v>
      </c>
      <c r="J535" s="1" t="s">
        <v>5537</v>
      </c>
      <c r="K535" s="1" t="s">
        <v>74</v>
      </c>
      <c r="L535" s="1" t="s">
        <v>74</v>
      </c>
      <c r="M535" s="1" t="s">
        <v>74</v>
      </c>
      <c r="N535" s="1" t="s">
        <v>74</v>
      </c>
      <c r="O535" s="1" t="s">
        <v>74</v>
      </c>
      <c r="P535" s="1" t="s">
        <v>74</v>
      </c>
      <c r="Q535" s="1" t="s">
        <v>74</v>
      </c>
      <c r="R535" s="1" t="s">
        <v>74</v>
      </c>
      <c r="S535" s="1" t="s">
        <v>74</v>
      </c>
      <c r="T535" s="1" t="s">
        <v>74</v>
      </c>
      <c r="U535" s="1" t="s">
        <v>74</v>
      </c>
      <c r="V535" s="1" t="s">
        <v>5538</v>
      </c>
      <c r="W535" s="1" t="s">
        <v>74</v>
      </c>
      <c r="X535" s="1" t="s">
        <v>74</v>
      </c>
      <c r="Y535" s="1" t="s">
        <v>74</v>
      </c>
      <c r="Z535" s="1" t="s">
        <v>74</v>
      </c>
      <c r="AA535" s="1" t="s">
        <v>5539</v>
      </c>
      <c r="AB535" s="1" t="s">
        <v>5540</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5541</v>
      </c>
      <c r="AP535" s="1" t="s">
        <v>5542</v>
      </c>
      <c r="AQ535" s="1" t="s">
        <v>74</v>
      </c>
      <c r="AR535" s="1" t="s">
        <v>74</v>
      </c>
      <c r="AS535" s="1" t="s">
        <v>74</v>
      </c>
      <c r="AT535" s="1" t="s">
        <v>2063</v>
      </c>
      <c r="AU535" s="1">
        <v>2022.0</v>
      </c>
      <c r="AV535" s="1">
        <v>50.0</v>
      </c>
      <c r="AW535" s="1">
        <v>21.0</v>
      </c>
      <c r="AX535" s="1" t="s">
        <v>74</v>
      </c>
      <c r="AY535" s="1" t="s">
        <v>74</v>
      </c>
      <c r="AZ535" s="1" t="s">
        <v>74</v>
      </c>
      <c r="BA535" s="1" t="s">
        <v>74</v>
      </c>
      <c r="BB535" s="1">
        <v>12355.0</v>
      </c>
      <c r="BC535" s="1">
        <v>12368.0</v>
      </c>
      <c r="BD535" s="1" t="s">
        <v>74</v>
      </c>
      <c r="BE535" s="1" t="s">
        <v>5543</v>
      </c>
      <c r="BF535" s="2" t="str">
        <f>HYPERLINK("http://dx.doi.org/10.1093/nar/gkac1124","http://dx.doi.org/10.1093/nar/gkac1124")</f>
        <v>http://dx.doi.org/10.1093/nar/gkac1124</v>
      </c>
      <c r="BG535" s="1" t="s">
        <v>74</v>
      </c>
      <c r="BH535" s="1" t="s">
        <v>3779</v>
      </c>
      <c r="BI535" s="1" t="s">
        <v>74</v>
      </c>
      <c r="BJ535" s="1" t="s">
        <v>74</v>
      </c>
      <c r="BK535" s="1" t="s">
        <v>74</v>
      </c>
      <c r="BL535" s="1" t="s">
        <v>74</v>
      </c>
      <c r="BM535" s="1" t="s">
        <v>74</v>
      </c>
      <c r="BN535" s="1">
        <v>3.6477901E7</v>
      </c>
      <c r="BO535" s="1" t="s">
        <v>74</v>
      </c>
      <c r="BP535" s="1" t="s">
        <v>74</v>
      </c>
      <c r="BQ535" s="1" t="s">
        <v>74</v>
      </c>
      <c r="BR535" s="1" t="s">
        <v>74</v>
      </c>
      <c r="BS535" s="1" t="s">
        <v>5544</v>
      </c>
      <c r="BT535" s="1" t="str">
        <f>HYPERLINK("https%3A%2F%2Fwww.webofscience.com%2Fwos%2Fwoscc%2Ffull-record%2FWOS:000894130100001","View Full Record in Web of Science")</f>
        <v>View Full Record in Web of Science</v>
      </c>
    </row>
    <row r="536" ht="12.75" customHeight="1">
      <c r="A536" s="1" t="s">
        <v>72</v>
      </c>
      <c r="B536" s="1" t="s">
        <v>5545</v>
      </c>
      <c r="C536" s="1" t="s">
        <v>74</v>
      </c>
      <c r="D536" s="1" t="s">
        <v>74</v>
      </c>
      <c r="E536" s="1" t="s">
        <v>74</v>
      </c>
      <c r="F536" s="1" t="s">
        <v>5546</v>
      </c>
      <c r="G536" s="1" t="s">
        <v>74</v>
      </c>
      <c r="H536" s="1" t="s">
        <v>74</v>
      </c>
      <c r="I536" s="1" t="s">
        <v>5547</v>
      </c>
      <c r="J536" s="1" t="s">
        <v>2909</v>
      </c>
      <c r="K536" s="1" t="s">
        <v>74</v>
      </c>
      <c r="L536" s="1" t="s">
        <v>74</v>
      </c>
      <c r="M536" s="1" t="s">
        <v>74</v>
      </c>
      <c r="N536" s="1" t="s">
        <v>74</v>
      </c>
      <c r="O536" s="1" t="s">
        <v>74</v>
      </c>
      <c r="P536" s="1" t="s">
        <v>74</v>
      </c>
      <c r="Q536" s="1" t="s">
        <v>74</v>
      </c>
      <c r="R536" s="1" t="s">
        <v>74</v>
      </c>
      <c r="S536" s="1" t="s">
        <v>74</v>
      </c>
      <c r="T536" s="1" t="s">
        <v>74</v>
      </c>
      <c r="U536" s="1" t="s">
        <v>74</v>
      </c>
      <c r="V536" s="1" t="s">
        <v>5548</v>
      </c>
      <c r="W536" s="1" t="s">
        <v>74</v>
      </c>
      <c r="X536" s="1" t="s">
        <v>74</v>
      </c>
      <c r="Y536" s="1" t="s">
        <v>74</v>
      </c>
      <c r="Z536" s="1" t="s">
        <v>74</v>
      </c>
      <c r="AA536" s="1" t="s">
        <v>5549</v>
      </c>
      <c r="AB536" s="1" t="s">
        <v>5550</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2912</v>
      </c>
      <c r="AP536" s="1" t="s">
        <v>74</v>
      </c>
      <c r="AQ536" s="1" t="s">
        <v>74</v>
      </c>
      <c r="AR536" s="1" t="s">
        <v>74</v>
      </c>
      <c r="AS536" s="1" t="s">
        <v>74</v>
      </c>
      <c r="AT536" s="1" t="s">
        <v>5551</v>
      </c>
      <c r="AU536" s="1">
        <v>2019.0</v>
      </c>
      <c r="AV536" s="1">
        <v>10.0</v>
      </c>
      <c r="AW536" s="1" t="s">
        <v>74</v>
      </c>
      <c r="AX536" s="1" t="s">
        <v>74</v>
      </c>
      <c r="AY536" s="1" t="s">
        <v>74</v>
      </c>
      <c r="AZ536" s="1" t="s">
        <v>74</v>
      </c>
      <c r="BA536" s="1" t="s">
        <v>74</v>
      </c>
      <c r="BB536" s="1" t="s">
        <v>74</v>
      </c>
      <c r="BC536" s="1" t="s">
        <v>74</v>
      </c>
      <c r="BD536" s="1">
        <v>552.0</v>
      </c>
      <c r="BE536" s="1" t="s">
        <v>5552</v>
      </c>
      <c r="BF536" s="2" t="str">
        <f>HYPERLINK("http://dx.doi.org/10.3389/fpsyt.2019.00552","http://dx.doi.org/10.3389/fpsyt.2019.00552")</f>
        <v>http://dx.doi.org/10.3389/fpsyt.2019.00552</v>
      </c>
      <c r="BG536" s="1" t="s">
        <v>74</v>
      </c>
      <c r="BH536" s="1" t="s">
        <v>74</v>
      </c>
      <c r="BI536" s="1" t="s">
        <v>74</v>
      </c>
      <c r="BJ536" s="1" t="s">
        <v>74</v>
      </c>
      <c r="BK536" s="1" t="s">
        <v>74</v>
      </c>
      <c r="BL536" s="1" t="s">
        <v>74</v>
      </c>
      <c r="BM536" s="1" t="s">
        <v>74</v>
      </c>
      <c r="BN536" s="1">
        <v>3.141744E7</v>
      </c>
      <c r="BO536" s="1" t="s">
        <v>74</v>
      </c>
      <c r="BP536" s="1" t="s">
        <v>74</v>
      </c>
      <c r="BQ536" s="1" t="s">
        <v>74</v>
      </c>
      <c r="BR536" s="1" t="s">
        <v>74</v>
      </c>
      <c r="BS536" s="1" t="s">
        <v>5553</v>
      </c>
      <c r="BT536" s="1" t="str">
        <f>HYPERLINK("https%3A%2F%2Fwww.webofscience.com%2Fwos%2Fwoscc%2Ffull-record%2FWOS:000477800700001","View Full Record in Web of Science")</f>
        <v>View Full Record in Web of Science</v>
      </c>
    </row>
    <row r="537" ht="12.75" customHeight="1">
      <c r="A537" s="1" t="s">
        <v>72</v>
      </c>
      <c r="B537" s="1" t="s">
        <v>5554</v>
      </c>
      <c r="C537" s="1" t="s">
        <v>74</v>
      </c>
      <c r="D537" s="1" t="s">
        <v>74</v>
      </c>
      <c r="E537" s="1" t="s">
        <v>74</v>
      </c>
      <c r="F537" s="1" t="s">
        <v>5555</v>
      </c>
      <c r="G537" s="1" t="s">
        <v>74</v>
      </c>
      <c r="H537" s="1" t="s">
        <v>74</v>
      </c>
      <c r="I537" s="1" t="s">
        <v>5556</v>
      </c>
      <c r="J537" s="1" t="s">
        <v>1003</v>
      </c>
      <c r="K537" s="1" t="s">
        <v>74</v>
      </c>
      <c r="L537" s="1" t="s">
        <v>74</v>
      </c>
      <c r="M537" s="1" t="s">
        <v>74</v>
      </c>
      <c r="N537" s="1" t="s">
        <v>74</v>
      </c>
      <c r="O537" s="1" t="s">
        <v>74</v>
      </c>
      <c r="P537" s="1" t="s">
        <v>74</v>
      </c>
      <c r="Q537" s="1" t="s">
        <v>74</v>
      </c>
      <c r="R537" s="1" t="s">
        <v>74</v>
      </c>
      <c r="S537" s="1" t="s">
        <v>74</v>
      </c>
      <c r="T537" s="1" t="s">
        <v>74</v>
      </c>
      <c r="U537" s="1" t="s">
        <v>74</v>
      </c>
      <c r="V537" s="1" t="s">
        <v>5557</v>
      </c>
      <c r="W537" s="1" t="s">
        <v>74</v>
      </c>
      <c r="X537" s="1" t="s">
        <v>74</v>
      </c>
      <c r="Y537" s="1" t="s">
        <v>74</v>
      </c>
      <c r="Z537" s="1" t="s">
        <v>74</v>
      </c>
      <c r="AA537" s="1" t="s">
        <v>5558</v>
      </c>
      <c r="AB537" s="1" t="s">
        <v>528</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1006</v>
      </c>
      <c r="AP537" s="1" t="s">
        <v>1007</v>
      </c>
      <c r="AQ537" s="1" t="s">
        <v>74</v>
      </c>
      <c r="AR537" s="1" t="s">
        <v>74</v>
      </c>
      <c r="AS537" s="1" t="s">
        <v>74</v>
      </c>
      <c r="AT537" s="1" t="s">
        <v>94</v>
      </c>
      <c r="AU537" s="1">
        <v>2017.0</v>
      </c>
      <c r="AV537" s="1">
        <v>145.0</v>
      </c>
      <c r="AW537" s="1">
        <v>12.0</v>
      </c>
      <c r="AX537" s="1" t="s">
        <v>74</v>
      </c>
      <c r="AY537" s="1" t="s">
        <v>74</v>
      </c>
      <c r="AZ537" s="1" t="s">
        <v>74</v>
      </c>
      <c r="BA537" s="1" t="s">
        <v>74</v>
      </c>
      <c r="BB537" s="1">
        <v>1535.0</v>
      </c>
      <c r="BC537" s="1">
        <v>1540.0</v>
      </c>
      <c r="BD537" s="1" t="s">
        <v>74</v>
      </c>
      <c r="BE537" s="1" t="s">
        <v>5559</v>
      </c>
      <c r="BF537" s="2" t="str">
        <f>HYPERLINK("http://dx.doi.org/10.4067/s0034-98872017001201535","http://dx.doi.org/10.4067/s0034-98872017001201535")</f>
        <v>http://dx.doi.org/10.4067/s0034-98872017001201535</v>
      </c>
      <c r="BG537" s="1" t="s">
        <v>74</v>
      </c>
      <c r="BH537" s="1" t="s">
        <v>74</v>
      </c>
      <c r="BI537" s="1" t="s">
        <v>74</v>
      </c>
      <c r="BJ537" s="1" t="s">
        <v>74</v>
      </c>
      <c r="BK537" s="1" t="s">
        <v>74</v>
      </c>
      <c r="BL537" s="1" t="s">
        <v>74</v>
      </c>
      <c r="BM537" s="1" t="s">
        <v>74</v>
      </c>
      <c r="BN537" s="1">
        <v>2.9652949E7</v>
      </c>
      <c r="BO537" s="1" t="s">
        <v>74</v>
      </c>
      <c r="BP537" s="1" t="s">
        <v>74</v>
      </c>
      <c r="BQ537" s="1" t="s">
        <v>74</v>
      </c>
      <c r="BR537" s="1" t="s">
        <v>74</v>
      </c>
      <c r="BS537" s="1" t="s">
        <v>5560</v>
      </c>
      <c r="BT537" s="1" t="str">
        <f>HYPERLINK("https%3A%2F%2Fwww.webofscience.com%2Fwos%2Fwoscc%2Ffull-record%2FWOS:000429615300004","View Full Record in Web of Science")</f>
        <v>View Full Record in Web of Science</v>
      </c>
    </row>
    <row r="538" ht="12.75" customHeight="1">
      <c r="A538" s="1" t="s">
        <v>72</v>
      </c>
      <c r="B538" s="1" t="s">
        <v>5561</v>
      </c>
      <c r="C538" s="1" t="s">
        <v>74</v>
      </c>
      <c r="D538" s="1" t="s">
        <v>74</v>
      </c>
      <c r="E538" s="1" t="s">
        <v>74</v>
      </c>
      <c r="F538" s="1" t="s">
        <v>5562</v>
      </c>
      <c r="G538" s="1" t="s">
        <v>74</v>
      </c>
      <c r="H538" s="1" t="s">
        <v>74</v>
      </c>
      <c r="I538" s="1" t="s">
        <v>5563</v>
      </c>
      <c r="J538" s="1" t="s">
        <v>5564</v>
      </c>
      <c r="K538" s="1" t="s">
        <v>74</v>
      </c>
      <c r="L538" s="1" t="s">
        <v>74</v>
      </c>
      <c r="M538" s="1" t="s">
        <v>74</v>
      </c>
      <c r="N538" s="1" t="s">
        <v>74</v>
      </c>
      <c r="O538" s="1" t="s">
        <v>74</v>
      </c>
      <c r="P538" s="1" t="s">
        <v>74</v>
      </c>
      <c r="Q538" s="1" t="s">
        <v>74</v>
      </c>
      <c r="R538" s="1" t="s">
        <v>74</v>
      </c>
      <c r="S538" s="1" t="s">
        <v>74</v>
      </c>
      <c r="T538" s="1" t="s">
        <v>74</v>
      </c>
      <c r="U538" s="1" t="s">
        <v>74</v>
      </c>
      <c r="V538" s="1" t="s">
        <v>5565</v>
      </c>
      <c r="W538" s="1" t="s">
        <v>74</v>
      </c>
      <c r="X538" s="1" t="s">
        <v>74</v>
      </c>
      <c r="Y538" s="1" t="s">
        <v>74</v>
      </c>
      <c r="Z538" s="1" t="s">
        <v>74</v>
      </c>
      <c r="AA538" s="1" t="s">
        <v>5566</v>
      </c>
      <c r="AB538" s="1" t="s">
        <v>5567</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5568</v>
      </c>
      <c r="AP538" s="1" t="s">
        <v>5569</v>
      </c>
      <c r="AQ538" s="1" t="s">
        <v>74</v>
      </c>
      <c r="AR538" s="1" t="s">
        <v>74</v>
      </c>
      <c r="AS538" s="1" t="s">
        <v>74</v>
      </c>
      <c r="AT538" s="1" t="s">
        <v>745</v>
      </c>
      <c r="AU538" s="1">
        <v>2016.0</v>
      </c>
      <c r="AV538" s="1">
        <v>34.0</v>
      </c>
      <c r="AW538" s="1" t="s">
        <v>74</v>
      </c>
      <c r="AX538" s="1" t="s">
        <v>74</v>
      </c>
      <c r="AY538" s="1" t="s">
        <v>74</v>
      </c>
      <c r="AZ538" s="1" t="s">
        <v>74</v>
      </c>
      <c r="BA538" s="1" t="s">
        <v>74</v>
      </c>
      <c r="BB538" s="1">
        <v>35.0</v>
      </c>
      <c r="BC538" s="1">
        <v>43.0</v>
      </c>
      <c r="BD538" s="1" t="s">
        <v>74</v>
      </c>
      <c r="BE538" s="1" t="s">
        <v>5570</v>
      </c>
      <c r="BF538" s="2" t="str">
        <f>HYPERLINK("http://dx.doi.org/10.1016/j.ecoinf.2016.03.001","http://dx.doi.org/10.1016/j.ecoinf.2016.03.001")</f>
        <v>http://dx.doi.org/10.1016/j.ecoinf.2016.03.001</v>
      </c>
      <c r="BG538" s="1" t="s">
        <v>74</v>
      </c>
      <c r="BH538" s="1" t="s">
        <v>74</v>
      </c>
      <c r="BI538" s="1" t="s">
        <v>74</v>
      </c>
      <c r="BJ538" s="1" t="s">
        <v>74</v>
      </c>
      <c r="BK538" s="1" t="s">
        <v>74</v>
      </c>
      <c r="BL538" s="1" t="s">
        <v>74</v>
      </c>
      <c r="BM538" s="1" t="s">
        <v>74</v>
      </c>
      <c r="BN538" s="1" t="s">
        <v>74</v>
      </c>
      <c r="BO538" s="1" t="s">
        <v>74</v>
      </c>
      <c r="BP538" s="1" t="s">
        <v>74</v>
      </c>
      <c r="BQ538" s="1" t="s">
        <v>74</v>
      </c>
      <c r="BR538" s="1" t="s">
        <v>74</v>
      </c>
      <c r="BS538" s="1" t="s">
        <v>5571</v>
      </c>
      <c r="BT538" s="1" t="str">
        <f>HYPERLINK("https%3A%2F%2Fwww.webofscience.com%2Fwos%2Fwoscc%2Ffull-record%2FWOS:000380082300004","View Full Record in Web of Science")</f>
        <v>View Full Record in Web of Science</v>
      </c>
    </row>
    <row r="539" ht="12.75" customHeight="1">
      <c r="A539" s="1" t="s">
        <v>72</v>
      </c>
      <c r="B539" s="1" t="s">
        <v>5572</v>
      </c>
      <c r="C539" s="1" t="s">
        <v>74</v>
      </c>
      <c r="D539" s="1" t="s">
        <v>74</v>
      </c>
      <c r="E539" s="1" t="s">
        <v>74</v>
      </c>
      <c r="F539" s="1" t="s">
        <v>5573</v>
      </c>
      <c r="G539" s="1" t="s">
        <v>74</v>
      </c>
      <c r="H539" s="1" t="s">
        <v>74</v>
      </c>
      <c r="I539" s="1" t="s">
        <v>5574</v>
      </c>
      <c r="J539" s="1" t="s">
        <v>821</v>
      </c>
      <c r="K539" s="1" t="s">
        <v>74</v>
      </c>
      <c r="L539" s="1" t="s">
        <v>74</v>
      </c>
      <c r="M539" s="1" t="s">
        <v>74</v>
      </c>
      <c r="N539" s="1" t="s">
        <v>74</v>
      </c>
      <c r="O539" s="1" t="s">
        <v>74</v>
      </c>
      <c r="P539" s="1" t="s">
        <v>74</v>
      </c>
      <c r="Q539" s="1" t="s">
        <v>74</v>
      </c>
      <c r="R539" s="1" t="s">
        <v>74</v>
      </c>
      <c r="S539" s="1" t="s">
        <v>74</v>
      </c>
      <c r="T539" s="1" t="s">
        <v>74</v>
      </c>
      <c r="U539" s="1" t="s">
        <v>74</v>
      </c>
      <c r="V539" s="1" t="s">
        <v>5575</v>
      </c>
      <c r="W539" s="1" t="s">
        <v>74</v>
      </c>
      <c r="X539" s="1" t="s">
        <v>74</v>
      </c>
      <c r="Y539" s="1" t="s">
        <v>74</v>
      </c>
      <c r="Z539" s="1" t="s">
        <v>74</v>
      </c>
      <c r="AA539" s="1" t="s">
        <v>5576</v>
      </c>
      <c r="AB539" s="1" t="s">
        <v>5577</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74</v>
      </c>
      <c r="AP539" s="1" t="s">
        <v>825</v>
      </c>
      <c r="AQ539" s="1" t="s">
        <v>74</v>
      </c>
      <c r="AR539" s="1" t="s">
        <v>74</v>
      </c>
      <c r="AS539" s="1" t="s">
        <v>74</v>
      </c>
      <c r="AT539" s="1" t="s">
        <v>5578</v>
      </c>
      <c r="AU539" s="1">
        <v>2023.0</v>
      </c>
      <c r="AV539" s="1">
        <v>11.0</v>
      </c>
      <c r="AW539" s="1" t="s">
        <v>74</v>
      </c>
      <c r="AX539" s="1" t="s">
        <v>74</v>
      </c>
      <c r="AY539" s="1" t="s">
        <v>74</v>
      </c>
      <c r="AZ539" s="1" t="s">
        <v>74</v>
      </c>
      <c r="BA539" s="1" t="s">
        <v>74</v>
      </c>
      <c r="BB539" s="1" t="s">
        <v>74</v>
      </c>
      <c r="BC539" s="1" t="s">
        <v>74</v>
      </c>
      <c r="BD539" s="1">
        <v>1090050.0</v>
      </c>
      <c r="BE539" s="1" t="s">
        <v>5579</v>
      </c>
      <c r="BF539" s="2" t="str">
        <f>HYPERLINK("http://dx.doi.org/10.3389/fpubh.2023.1090050","http://dx.doi.org/10.3389/fpubh.2023.1090050")</f>
        <v>http://dx.doi.org/10.3389/fpubh.2023.1090050</v>
      </c>
      <c r="BG539" s="1" t="s">
        <v>74</v>
      </c>
      <c r="BH539" s="1" t="s">
        <v>74</v>
      </c>
      <c r="BI539" s="1" t="s">
        <v>74</v>
      </c>
      <c r="BJ539" s="1" t="s">
        <v>74</v>
      </c>
      <c r="BK539" s="1" t="s">
        <v>74</v>
      </c>
      <c r="BL539" s="1" t="s">
        <v>74</v>
      </c>
      <c r="BM539" s="1" t="s">
        <v>74</v>
      </c>
      <c r="BN539" s="1">
        <v>3.7333554E7</v>
      </c>
      <c r="BO539" s="1" t="s">
        <v>74</v>
      </c>
      <c r="BP539" s="1" t="s">
        <v>74</v>
      </c>
      <c r="BQ539" s="1" t="s">
        <v>74</v>
      </c>
      <c r="BR539" s="1" t="s">
        <v>74</v>
      </c>
      <c r="BS539" s="1" t="s">
        <v>5580</v>
      </c>
      <c r="BT539" s="1" t="str">
        <f>HYPERLINK("https%3A%2F%2Fwww.webofscience.com%2Fwos%2Fwoscc%2Ffull-record%2FWOS:001008462700001","View Full Record in Web of Science")</f>
        <v>View Full Record in Web of Science</v>
      </c>
    </row>
    <row r="540" ht="12.75" customHeight="1">
      <c r="A540" s="1" t="s">
        <v>72</v>
      </c>
      <c r="B540" s="1" t="s">
        <v>5581</v>
      </c>
      <c r="C540" s="1" t="s">
        <v>74</v>
      </c>
      <c r="D540" s="1" t="s">
        <v>74</v>
      </c>
      <c r="E540" s="1" t="s">
        <v>74</v>
      </c>
      <c r="F540" s="1" t="s">
        <v>5582</v>
      </c>
      <c r="G540" s="1" t="s">
        <v>74</v>
      </c>
      <c r="H540" s="1" t="s">
        <v>74</v>
      </c>
      <c r="I540" s="1" t="s">
        <v>5583</v>
      </c>
      <c r="J540" s="1" t="s">
        <v>694</v>
      </c>
      <c r="K540" s="1" t="s">
        <v>74</v>
      </c>
      <c r="L540" s="1" t="s">
        <v>74</v>
      </c>
      <c r="M540" s="1" t="s">
        <v>74</v>
      </c>
      <c r="N540" s="1" t="s">
        <v>74</v>
      </c>
      <c r="O540" s="1" t="s">
        <v>74</v>
      </c>
      <c r="P540" s="1" t="s">
        <v>74</v>
      </c>
      <c r="Q540" s="1" t="s">
        <v>74</v>
      </c>
      <c r="R540" s="1" t="s">
        <v>74</v>
      </c>
      <c r="S540" s="1" t="s">
        <v>74</v>
      </c>
      <c r="T540" s="1" t="s">
        <v>74</v>
      </c>
      <c r="U540" s="1" t="s">
        <v>74</v>
      </c>
      <c r="V540" s="1" t="s">
        <v>5584</v>
      </c>
      <c r="W540" s="1" t="s">
        <v>74</v>
      </c>
      <c r="X540" s="1" t="s">
        <v>74</v>
      </c>
      <c r="Y540" s="1" t="s">
        <v>74</v>
      </c>
      <c r="Z540" s="1" t="s">
        <v>74</v>
      </c>
      <c r="AA540" s="1" t="s">
        <v>5585</v>
      </c>
      <c r="AB540" s="1" t="s">
        <v>5586</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698</v>
      </c>
      <c r="AP540" s="1" t="s">
        <v>699</v>
      </c>
      <c r="AQ540" s="1" t="s">
        <v>74</v>
      </c>
      <c r="AR540" s="1" t="s">
        <v>74</v>
      </c>
      <c r="AS540" s="1" t="s">
        <v>74</v>
      </c>
      <c r="AT540" s="1" t="s">
        <v>3579</v>
      </c>
      <c r="AU540" s="1">
        <v>2020.0</v>
      </c>
      <c r="AV540" s="1">
        <v>15.0</v>
      </c>
      <c r="AW540" s="1">
        <v>4.0</v>
      </c>
      <c r="AX540" s="1" t="s">
        <v>74</v>
      </c>
      <c r="AY540" s="1" t="s">
        <v>74</v>
      </c>
      <c r="AZ540" s="1" t="s">
        <v>74</v>
      </c>
      <c r="BA540" s="1" t="s">
        <v>74</v>
      </c>
      <c r="BB540" s="1">
        <v>398.0</v>
      </c>
      <c r="BC540" s="1">
        <v>407.0</v>
      </c>
      <c r="BD540" s="1" t="s">
        <v>74</v>
      </c>
      <c r="BE540" s="1" t="s">
        <v>5587</v>
      </c>
      <c r="BF540" s="2" t="str">
        <f>HYPERLINK("http://dx.doi.org/10.1080/17470919.2020.1735511","http://dx.doi.org/10.1080/17470919.2020.1735511")</f>
        <v>http://dx.doi.org/10.1080/17470919.2020.1735511</v>
      </c>
      <c r="BG540" s="1" t="s">
        <v>74</v>
      </c>
      <c r="BH540" s="1" t="s">
        <v>1930</v>
      </c>
      <c r="BI540" s="1" t="s">
        <v>74</v>
      </c>
      <c r="BJ540" s="1" t="s">
        <v>74</v>
      </c>
      <c r="BK540" s="1" t="s">
        <v>74</v>
      </c>
      <c r="BL540" s="1" t="s">
        <v>74</v>
      </c>
      <c r="BM540" s="1" t="s">
        <v>74</v>
      </c>
      <c r="BN540" s="1">
        <v>3.2107978E7</v>
      </c>
      <c r="BO540" s="1" t="s">
        <v>74</v>
      </c>
      <c r="BP540" s="1" t="s">
        <v>74</v>
      </c>
      <c r="BQ540" s="1" t="s">
        <v>74</v>
      </c>
      <c r="BR540" s="1" t="s">
        <v>74</v>
      </c>
      <c r="BS540" s="1" t="s">
        <v>5588</v>
      </c>
      <c r="BT540" s="1" t="str">
        <f>HYPERLINK("https%3A%2F%2Fwww.webofscience.com%2Fwos%2Fwoscc%2Ffull-record%2FWOS:000519312800001","View Full Record in Web of Science")</f>
        <v>View Full Record in Web of Science</v>
      </c>
    </row>
    <row r="541" ht="12.75" customHeight="1">
      <c r="A541" s="1" t="s">
        <v>72</v>
      </c>
      <c r="B541" s="1" t="s">
        <v>5589</v>
      </c>
      <c r="C541" s="1" t="s">
        <v>74</v>
      </c>
      <c r="D541" s="1" t="s">
        <v>74</v>
      </c>
      <c r="E541" s="1" t="s">
        <v>74</v>
      </c>
      <c r="F541" s="1" t="s">
        <v>5590</v>
      </c>
      <c r="G541" s="1" t="s">
        <v>74</v>
      </c>
      <c r="H541" s="1" t="s">
        <v>74</v>
      </c>
      <c r="I541" s="1" t="s">
        <v>5591</v>
      </c>
      <c r="J541" s="1" t="s">
        <v>147</v>
      </c>
      <c r="K541" s="1" t="s">
        <v>74</v>
      </c>
      <c r="L541" s="1" t="s">
        <v>74</v>
      </c>
      <c r="M541" s="1" t="s">
        <v>74</v>
      </c>
      <c r="N541" s="1" t="s">
        <v>74</v>
      </c>
      <c r="O541" s="1" t="s">
        <v>74</v>
      </c>
      <c r="P541" s="1" t="s">
        <v>74</v>
      </c>
      <c r="Q541" s="1" t="s">
        <v>74</v>
      </c>
      <c r="R541" s="1" t="s">
        <v>74</v>
      </c>
      <c r="S541" s="1" t="s">
        <v>74</v>
      </c>
      <c r="T541" s="1" t="s">
        <v>74</v>
      </c>
      <c r="U541" s="1" t="s">
        <v>74</v>
      </c>
      <c r="V541" s="1" t="s">
        <v>5592</v>
      </c>
      <c r="W541" s="1" t="s">
        <v>74</v>
      </c>
      <c r="X541" s="1" t="s">
        <v>74</v>
      </c>
      <c r="Y541" s="1" t="s">
        <v>74</v>
      </c>
      <c r="Z541" s="1" t="s">
        <v>74</v>
      </c>
      <c r="AA541" s="1" t="s">
        <v>5593</v>
      </c>
      <c r="AB541" s="1" t="s">
        <v>5594</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151</v>
      </c>
      <c r="AP541" s="1" t="s">
        <v>74</v>
      </c>
      <c r="AQ541" s="1" t="s">
        <v>74</v>
      </c>
      <c r="AR541" s="1" t="s">
        <v>74</v>
      </c>
      <c r="AS541" s="1" t="s">
        <v>74</v>
      </c>
      <c r="AT541" s="1" t="s">
        <v>5595</v>
      </c>
      <c r="AU541" s="1">
        <v>2025.0</v>
      </c>
      <c r="AV541" s="1">
        <v>20.0</v>
      </c>
      <c r="AW541" s="1">
        <v>1.0</v>
      </c>
      <c r="AX541" s="1" t="s">
        <v>74</v>
      </c>
      <c r="AY541" s="1" t="s">
        <v>74</v>
      </c>
      <c r="AZ541" s="1" t="s">
        <v>74</v>
      </c>
      <c r="BA541" s="1" t="s">
        <v>74</v>
      </c>
      <c r="BB541" s="1" t="s">
        <v>74</v>
      </c>
      <c r="BC541" s="1" t="s">
        <v>74</v>
      </c>
      <c r="BD541" s="1" t="s">
        <v>5596</v>
      </c>
      <c r="BE541" s="1" t="s">
        <v>5597</v>
      </c>
      <c r="BF541" s="2" t="str">
        <f>HYPERLINK("http://dx.doi.org/10.1371/journal.pone.0317594","http://dx.doi.org/10.1371/journal.pone.0317594")</f>
        <v>http://dx.doi.org/10.1371/journal.pone.0317594</v>
      </c>
      <c r="BG541" s="1" t="s">
        <v>74</v>
      </c>
      <c r="BH541" s="1" t="s">
        <v>74</v>
      </c>
      <c r="BI541" s="1" t="s">
        <v>74</v>
      </c>
      <c r="BJ541" s="1" t="s">
        <v>74</v>
      </c>
      <c r="BK541" s="1" t="s">
        <v>74</v>
      </c>
      <c r="BL541" s="1" t="s">
        <v>74</v>
      </c>
      <c r="BM541" s="1" t="s">
        <v>74</v>
      </c>
      <c r="BN541" s="1">
        <v>3.9879255E7</v>
      </c>
      <c r="BO541" s="1" t="s">
        <v>74</v>
      </c>
      <c r="BP541" s="1" t="s">
        <v>74</v>
      </c>
      <c r="BQ541" s="1" t="s">
        <v>74</v>
      </c>
      <c r="BR541" s="1" t="s">
        <v>74</v>
      </c>
      <c r="BS541" s="1" t="s">
        <v>5598</v>
      </c>
      <c r="BT541" s="1" t="str">
        <f>HYPERLINK("https%3A%2F%2Fwww.webofscience.com%2Fwos%2Fwoscc%2Ffull-record%2FWOS:001410806300032","View Full Record in Web of Science")</f>
        <v>View Full Record in Web of Science</v>
      </c>
    </row>
    <row r="542" ht="12.75" customHeight="1">
      <c r="A542" s="1" t="s">
        <v>72</v>
      </c>
      <c r="B542" s="1" t="s">
        <v>5599</v>
      </c>
      <c r="C542" s="1" t="s">
        <v>74</v>
      </c>
      <c r="D542" s="1" t="s">
        <v>74</v>
      </c>
      <c r="E542" s="1" t="s">
        <v>74</v>
      </c>
      <c r="F542" s="1" t="s">
        <v>5600</v>
      </c>
      <c r="G542" s="1" t="s">
        <v>74</v>
      </c>
      <c r="H542" s="1" t="s">
        <v>74</v>
      </c>
      <c r="I542" s="1" t="s">
        <v>5601</v>
      </c>
      <c r="J542" s="1" t="s">
        <v>5602</v>
      </c>
      <c r="K542" s="1" t="s">
        <v>74</v>
      </c>
      <c r="L542" s="1" t="s">
        <v>74</v>
      </c>
      <c r="M542" s="1" t="s">
        <v>74</v>
      </c>
      <c r="N542" s="1" t="s">
        <v>74</v>
      </c>
      <c r="O542" s="1" t="s">
        <v>74</v>
      </c>
      <c r="P542" s="1" t="s">
        <v>74</v>
      </c>
      <c r="Q542" s="1" t="s">
        <v>74</v>
      </c>
      <c r="R542" s="1" t="s">
        <v>74</v>
      </c>
      <c r="S542" s="1" t="s">
        <v>74</v>
      </c>
      <c r="T542" s="1" t="s">
        <v>74</v>
      </c>
      <c r="U542" s="1" t="s">
        <v>74</v>
      </c>
      <c r="V542" s="1" t="s">
        <v>5603</v>
      </c>
      <c r="W542" s="1" t="s">
        <v>74</v>
      </c>
      <c r="X542" s="1" t="s">
        <v>74</v>
      </c>
      <c r="Y542" s="1" t="s">
        <v>74</v>
      </c>
      <c r="Z542" s="1" t="s">
        <v>74</v>
      </c>
      <c r="AA542" s="1" t="s">
        <v>5604</v>
      </c>
      <c r="AB542" s="1" t="s">
        <v>5605</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5606</v>
      </c>
      <c r="AP542" s="1" t="s">
        <v>5607</v>
      </c>
      <c r="AQ542" s="1" t="s">
        <v>74</v>
      </c>
      <c r="AR542" s="1" t="s">
        <v>74</v>
      </c>
      <c r="AS542" s="1" t="s">
        <v>74</v>
      </c>
      <c r="AT542" s="1" t="s">
        <v>5608</v>
      </c>
      <c r="AU542" s="1">
        <v>2021.0</v>
      </c>
      <c r="AV542" s="1">
        <v>2021.0</v>
      </c>
      <c r="AW542" s="1" t="s">
        <v>74</v>
      </c>
      <c r="AX542" s="1" t="s">
        <v>74</v>
      </c>
      <c r="AY542" s="1" t="s">
        <v>74</v>
      </c>
      <c r="AZ542" s="1" t="s">
        <v>74</v>
      </c>
      <c r="BA542" s="1" t="s">
        <v>74</v>
      </c>
      <c r="BB542" s="1" t="s">
        <v>74</v>
      </c>
      <c r="BC542" s="1" t="s">
        <v>74</v>
      </c>
      <c r="BD542" s="1">
        <v>4493817.0</v>
      </c>
      <c r="BE542" s="1" t="s">
        <v>5609</v>
      </c>
      <c r="BF542" s="2" t="str">
        <f>HYPERLINK("http://dx.doi.org/10.1155/2021/4493817","http://dx.doi.org/10.1155/2021/4493817")</f>
        <v>http://dx.doi.org/10.1155/2021/4493817</v>
      </c>
      <c r="BG542" s="1" t="s">
        <v>74</v>
      </c>
      <c r="BH542" s="1" t="s">
        <v>74</v>
      </c>
      <c r="BI542" s="1" t="s">
        <v>74</v>
      </c>
      <c r="BJ542" s="1" t="s">
        <v>74</v>
      </c>
      <c r="BK542" s="1" t="s">
        <v>74</v>
      </c>
      <c r="BL542" s="1" t="s">
        <v>74</v>
      </c>
      <c r="BM542" s="1" t="s">
        <v>74</v>
      </c>
      <c r="BN542" s="1">
        <v>3.4676021E7</v>
      </c>
      <c r="BO542" s="1" t="s">
        <v>74</v>
      </c>
      <c r="BP542" s="1" t="s">
        <v>74</v>
      </c>
      <c r="BQ542" s="1" t="s">
        <v>74</v>
      </c>
      <c r="BR542" s="1" t="s">
        <v>74</v>
      </c>
      <c r="BS542" s="1" t="s">
        <v>5610</v>
      </c>
      <c r="BT542" s="1" t="str">
        <f>HYPERLINK("https%3A%2F%2Fwww.webofscience.com%2Fwos%2Fwoscc%2Ffull-record%2FWOS:000713203400002","View Full Record in Web of Science")</f>
        <v>View Full Record in Web of Science</v>
      </c>
    </row>
    <row r="543" ht="12.75" customHeight="1">
      <c r="A543" s="1" t="s">
        <v>72</v>
      </c>
      <c r="B543" s="1" t="s">
        <v>5611</v>
      </c>
      <c r="C543" s="1" t="s">
        <v>74</v>
      </c>
      <c r="D543" s="1" t="s">
        <v>74</v>
      </c>
      <c r="E543" s="1" t="s">
        <v>74</v>
      </c>
      <c r="F543" s="1" t="s">
        <v>5612</v>
      </c>
      <c r="G543" s="1" t="s">
        <v>74</v>
      </c>
      <c r="H543" s="1" t="s">
        <v>74</v>
      </c>
      <c r="I543" s="1" t="s">
        <v>5613</v>
      </c>
      <c r="J543" s="1" t="s">
        <v>5614</v>
      </c>
      <c r="K543" s="1" t="s">
        <v>74</v>
      </c>
      <c r="L543" s="1" t="s">
        <v>74</v>
      </c>
      <c r="M543" s="1" t="s">
        <v>74</v>
      </c>
      <c r="N543" s="1" t="s">
        <v>74</v>
      </c>
      <c r="O543" s="1" t="s">
        <v>74</v>
      </c>
      <c r="P543" s="1" t="s">
        <v>74</v>
      </c>
      <c r="Q543" s="1" t="s">
        <v>74</v>
      </c>
      <c r="R543" s="1" t="s">
        <v>74</v>
      </c>
      <c r="S543" s="1" t="s">
        <v>74</v>
      </c>
      <c r="T543" s="1" t="s">
        <v>74</v>
      </c>
      <c r="U543" s="1" t="s">
        <v>74</v>
      </c>
      <c r="V543" s="1" t="s">
        <v>5615</v>
      </c>
      <c r="W543" s="1" t="s">
        <v>74</v>
      </c>
      <c r="X543" s="1" t="s">
        <v>74</v>
      </c>
      <c r="Y543" s="1" t="s">
        <v>74</v>
      </c>
      <c r="Z543" s="1" t="s">
        <v>74</v>
      </c>
      <c r="AA543" s="1" t="s">
        <v>5616</v>
      </c>
      <c r="AB543" s="1" t="s">
        <v>5617</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5618</v>
      </c>
      <c r="AP543" s="1" t="s">
        <v>74</v>
      </c>
      <c r="AQ543" s="1" t="s">
        <v>74</v>
      </c>
      <c r="AR543" s="1" t="s">
        <v>74</v>
      </c>
      <c r="AS543" s="1" t="s">
        <v>74</v>
      </c>
      <c r="AT543" s="1" t="s">
        <v>74</v>
      </c>
      <c r="AU543" s="1">
        <v>2012.0</v>
      </c>
      <c r="AV543" s="1">
        <v>14.0</v>
      </c>
      <c r="AW543" s="1">
        <v>17.0</v>
      </c>
      <c r="AX543" s="1" t="s">
        <v>74</v>
      </c>
      <c r="AY543" s="1" t="s">
        <v>74</v>
      </c>
      <c r="AZ543" s="1" t="s">
        <v>74</v>
      </c>
      <c r="BA543" s="1" t="s">
        <v>74</v>
      </c>
      <c r="BB543" s="1">
        <v>5604.0</v>
      </c>
      <c r="BC543" s="1">
        <v>5612.0</v>
      </c>
      <c r="BD543" s="1" t="s">
        <v>74</v>
      </c>
      <c r="BE543" s="1" t="s">
        <v>5619</v>
      </c>
      <c r="BF543" s="2" t="str">
        <f>HYPERLINK("http://dx.doi.org/10.1039/c2ce25436k","http://dx.doi.org/10.1039/c2ce25436k")</f>
        <v>http://dx.doi.org/10.1039/c2ce25436k</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5620</v>
      </c>
      <c r="BT543" s="1" t="str">
        <f>HYPERLINK("https%3A%2F%2Fwww.webofscience.com%2Fwos%2Fwoscc%2Ffull-record%2FWOS:000306972100036","View Full Record in Web of Science")</f>
        <v>View Full Record in Web of Science</v>
      </c>
    </row>
    <row r="544" ht="12.75" customHeight="1">
      <c r="A544" s="1" t="s">
        <v>72</v>
      </c>
      <c r="B544" s="1" t="s">
        <v>5621</v>
      </c>
      <c r="C544" s="1" t="s">
        <v>74</v>
      </c>
      <c r="D544" s="1" t="s">
        <v>74</v>
      </c>
      <c r="E544" s="1" t="s">
        <v>74</v>
      </c>
      <c r="F544" s="1" t="s">
        <v>5622</v>
      </c>
      <c r="G544" s="1" t="s">
        <v>74</v>
      </c>
      <c r="H544" s="1" t="s">
        <v>74</v>
      </c>
      <c r="I544" s="1" t="s">
        <v>5623</v>
      </c>
      <c r="J544" s="1" t="s">
        <v>1226</v>
      </c>
      <c r="K544" s="1" t="s">
        <v>74</v>
      </c>
      <c r="L544" s="1" t="s">
        <v>74</v>
      </c>
      <c r="M544" s="1" t="s">
        <v>74</v>
      </c>
      <c r="N544" s="1" t="s">
        <v>74</v>
      </c>
      <c r="O544" s="1" t="s">
        <v>74</v>
      </c>
      <c r="P544" s="1" t="s">
        <v>74</v>
      </c>
      <c r="Q544" s="1" t="s">
        <v>74</v>
      </c>
      <c r="R544" s="1" t="s">
        <v>74</v>
      </c>
      <c r="S544" s="1" t="s">
        <v>74</v>
      </c>
      <c r="T544" s="1" t="s">
        <v>74</v>
      </c>
      <c r="U544" s="1" t="s">
        <v>74</v>
      </c>
      <c r="V544" s="1" t="s">
        <v>5624</v>
      </c>
      <c r="W544" s="1" t="s">
        <v>74</v>
      </c>
      <c r="X544" s="1" t="s">
        <v>74</v>
      </c>
      <c r="Y544" s="1" t="s">
        <v>74</v>
      </c>
      <c r="Z544" s="1" t="s">
        <v>74</v>
      </c>
      <c r="AA544" s="1" t="s">
        <v>5625</v>
      </c>
      <c r="AB544" s="1" t="s">
        <v>5626</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1228</v>
      </c>
      <c r="AP544" s="1" t="s">
        <v>1229</v>
      </c>
      <c r="AQ544" s="1" t="s">
        <v>74</v>
      </c>
      <c r="AR544" s="1" t="s">
        <v>74</v>
      </c>
      <c r="AS544" s="1" t="s">
        <v>74</v>
      </c>
      <c r="AT544" s="1" t="s">
        <v>5627</v>
      </c>
      <c r="AU544" s="1">
        <v>2024.0</v>
      </c>
      <c r="AV544" s="1">
        <v>693.0</v>
      </c>
      <c r="AW544" s="1" t="s">
        <v>74</v>
      </c>
      <c r="AX544" s="1" t="s">
        <v>74</v>
      </c>
      <c r="AY544" s="1" t="s">
        <v>74</v>
      </c>
      <c r="AZ544" s="1" t="s">
        <v>74</v>
      </c>
      <c r="BA544" s="1" t="s">
        <v>74</v>
      </c>
      <c r="BB544" s="1" t="s">
        <v>74</v>
      </c>
      <c r="BC544" s="1" t="s">
        <v>74</v>
      </c>
      <c r="BD544" s="1" t="s">
        <v>5628</v>
      </c>
      <c r="BE544" s="1" t="s">
        <v>5629</v>
      </c>
      <c r="BF544" s="2" t="str">
        <f>HYPERLINK("http://dx.doi.org/10.1051/0004-6361/202452041","http://dx.doi.org/10.1051/0004-6361/202452041")</f>
        <v>http://dx.doi.org/10.1051/0004-6361/202452041</v>
      </c>
      <c r="BG544" s="1" t="s">
        <v>74</v>
      </c>
      <c r="BH544" s="1" t="s">
        <v>74</v>
      </c>
      <c r="BI544" s="1" t="s">
        <v>74</v>
      </c>
      <c r="BJ544" s="1" t="s">
        <v>74</v>
      </c>
      <c r="BK544" s="1" t="s">
        <v>74</v>
      </c>
      <c r="BL544" s="1" t="s">
        <v>74</v>
      </c>
      <c r="BM544" s="1" t="s">
        <v>74</v>
      </c>
      <c r="BN544" s="1" t="s">
        <v>74</v>
      </c>
      <c r="BO544" s="1" t="s">
        <v>74</v>
      </c>
      <c r="BP544" s="1" t="s">
        <v>74</v>
      </c>
      <c r="BQ544" s="1" t="s">
        <v>74</v>
      </c>
      <c r="BR544" s="1" t="s">
        <v>74</v>
      </c>
      <c r="BS544" s="1" t="s">
        <v>5630</v>
      </c>
      <c r="BT544" s="1" t="str">
        <f>HYPERLINK("https%3A%2F%2Fwww.webofscience.com%2Fwos%2Fwoscc%2Ffull-record%2FWOS:001383026800011","View Full Record in Web of Science")</f>
        <v>View Full Record in Web of Science</v>
      </c>
    </row>
    <row r="545" ht="12.75" customHeight="1">
      <c r="A545" s="1" t="s">
        <v>72</v>
      </c>
      <c r="B545" s="1" t="s">
        <v>5631</v>
      </c>
      <c r="C545" s="1" t="s">
        <v>74</v>
      </c>
      <c r="D545" s="1" t="s">
        <v>74</v>
      </c>
      <c r="E545" s="1" t="s">
        <v>74</v>
      </c>
      <c r="F545" s="1" t="s">
        <v>5632</v>
      </c>
      <c r="G545" s="1" t="s">
        <v>74</v>
      </c>
      <c r="H545" s="1" t="s">
        <v>74</v>
      </c>
      <c r="I545" s="1" t="s">
        <v>5633</v>
      </c>
      <c r="J545" s="1" t="s">
        <v>5634</v>
      </c>
      <c r="K545" s="1" t="s">
        <v>74</v>
      </c>
      <c r="L545" s="1" t="s">
        <v>74</v>
      </c>
      <c r="M545" s="1" t="s">
        <v>74</v>
      </c>
      <c r="N545" s="1" t="s">
        <v>74</v>
      </c>
      <c r="O545" s="1" t="s">
        <v>74</v>
      </c>
      <c r="P545" s="1" t="s">
        <v>74</v>
      </c>
      <c r="Q545" s="1" t="s">
        <v>74</v>
      </c>
      <c r="R545" s="1" t="s">
        <v>74</v>
      </c>
      <c r="S545" s="1" t="s">
        <v>74</v>
      </c>
      <c r="T545" s="1" t="s">
        <v>74</v>
      </c>
      <c r="U545" s="1" t="s">
        <v>74</v>
      </c>
      <c r="V545" s="1" t="s">
        <v>74</v>
      </c>
      <c r="W545" s="1" t="s">
        <v>74</v>
      </c>
      <c r="X545" s="1" t="s">
        <v>74</v>
      </c>
      <c r="Y545" s="1" t="s">
        <v>74</v>
      </c>
      <c r="Z545" s="1" t="s">
        <v>74</v>
      </c>
      <c r="AA545" s="1" t="s">
        <v>5635</v>
      </c>
      <c r="AB545" s="1" t="s">
        <v>5636</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5637</v>
      </c>
      <c r="AP545" s="1" t="s">
        <v>5638</v>
      </c>
      <c r="AQ545" s="1" t="s">
        <v>74</v>
      </c>
      <c r="AR545" s="1" t="s">
        <v>74</v>
      </c>
      <c r="AS545" s="1" t="s">
        <v>74</v>
      </c>
      <c r="AT545" s="1" t="s">
        <v>4046</v>
      </c>
      <c r="AU545" s="1">
        <v>2024.0</v>
      </c>
      <c r="AV545" s="1">
        <v>97.0</v>
      </c>
      <c r="AW545" s="1">
        <v>1.0</v>
      </c>
      <c r="AX545" s="1" t="s">
        <v>74</v>
      </c>
      <c r="AY545" s="1" t="s">
        <v>74</v>
      </c>
      <c r="AZ545" s="1" t="s">
        <v>74</v>
      </c>
      <c r="BA545" s="1" t="s">
        <v>74</v>
      </c>
      <c r="BB545" s="1" t="s">
        <v>74</v>
      </c>
      <c r="BC545" s="1" t="s">
        <v>74</v>
      </c>
      <c r="BD545" s="1">
        <v>10.0</v>
      </c>
      <c r="BE545" s="1" t="s">
        <v>5639</v>
      </c>
      <c r="BF545" s="2" t="str">
        <f>HYPERLINK("http://dx.doi.org/10.1186/s40693-024-00134-8","http://dx.doi.org/10.1186/s40693-024-00134-8")</f>
        <v>http://dx.doi.org/10.1186/s40693-024-00134-8</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5640</v>
      </c>
      <c r="BT545" s="1" t="str">
        <f>HYPERLINK("https%3A%2F%2Fwww.webofscience.com%2Fwos%2Fwoscc%2Ffull-record%2FWOS:001312268900001","View Full Record in Web of Science")</f>
        <v>View Full Record in Web of Science</v>
      </c>
    </row>
    <row r="546" ht="12.75" customHeight="1">
      <c r="A546" s="1" t="s">
        <v>72</v>
      </c>
      <c r="B546" s="1" t="s">
        <v>5641</v>
      </c>
      <c r="C546" s="1" t="s">
        <v>74</v>
      </c>
      <c r="D546" s="1" t="s">
        <v>74</v>
      </c>
      <c r="E546" s="1" t="s">
        <v>74</v>
      </c>
      <c r="F546" s="1" t="s">
        <v>5642</v>
      </c>
      <c r="G546" s="1" t="s">
        <v>74</v>
      </c>
      <c r="H546" s="1" t="s">
        <v>74</v>
      </c>
      <c r="I546" s="1" t="s">
        <v>5643</v>
      </c>
      <c r="J546" s="1" t="s">
        <v>5644</v>
      </c>
      <c r="K546" s="1" t="s">
        <v>74</v>
      </c>
      <c r="L546" s="1" t="s">
        <v>74</v>
      </c>
      <c r="M546" s="1" t="s">
        <v>74</v>
      </c>
      <c r="N546" s="1" t="s">
        <v>74</v>
      </c>
      <c r="O546" s="1" t="s">
        <v>74</v>
      </c>
      <c r="P546" s="1" t="s">
        <v>74</v>
      </c>
      <c r="Q546" s="1" t="s">
        <v>74</v>
      </c>
      <c r="R546" s="1" t="s">
        <v>74</v>
      </c>
      <c r="S546" s="1" t="s">
        <v>74</v>
      </c>
      <c r="T546" s="1" t="s">
        <v>74</v>
      </c>
      <c r="U546" s="1" t="s">
        <v>74</v>
      </c>
      <c r="V546" s="1" t="s">
        <v>5645</v>
      </c>
      <c r="W546" s="1" t="s">
        <v>74</v>
      </c>
      <c r="X546" s="1" t="s">
        <v>74</v>
      </c>
      <c r="Y546" s="1" t="s">
        <v>74</v>
      </c>
      <c r="Z546" s="1" t="s">
        <v>74</v>
      </c>
      <c r="AA546" s="1" t="s">
        <v>5646</v>
      </c>
      <c r="AB546" s="1" t="s">
        <v>5647</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74</v>
      </c>
      <c r="AP546" s="1" t="s">
        <v>5648</v>
      </c>
      <c r="AQ546" s="1" t="s">
        <v>74</v>
      </c>
      <c r="AR546" s="1" t="s">
        <v>74</v>
      </c>
      <c r="AS546" s="1" t="s">
        <v>74</v>
      </c>
      <c r="AT546" s="1" t="s">
        <v>264</v>
      </c>
      <c r="AU546" s="1">
        <v>2023.0</v>
      </c>
      <c r="AV546" s="1">
        <v>13.0</v>
      </c>
      <c r="AW546" s="1">
        <v>1.0</v>
      </c>
      <c r="AX546" s="1" t="s">
        <v>74</v>
      </c>
      <c r="AY546" s="1" t="s">
        <v>74</v>
      </c>
      <c r="AZ546" s="1" t="s">
        <v>74</v>
      </c>
      <c r="BA546" s="1" t="s">
        <v>74</v>
      </c>
      <c r="BB546" s="1" t="s">
        <v>74</v>
      </c>
      <c r="BC546" s="1" t="s">
        <v>74</v>
      </c>
      <c r="BD546" s="1">
        <v>73.0</v>
      </c>
      <c r="BE546" s="1" t="s">
        <v>5649</v>
      </c>
      <c r="BF546" s="2" t="str">
        <f>HYPERLINK("http://dx.doi.org/10.3390/bs13010073","http://dx.doi.org/10.3390/bs13010073")</f>
        <v>http://dx.doi.org/10.3390/bs13010073</v>
      </c>
      <c r="BG546" s="1" t="s">
        <v>74</v>
      </c>
      <c r="BH546" s="1" t="s">
        <v>74</v>
      </c>
      <c r="BI546" s="1" t="s">
        <v>74</v>
      </c>
      <c r="BJ546" s="1" t="s">
        <v>74</v>
      </c>
      <c r="BK546" s="1" t="s">
        <v>74</v>
      </c>
      <c r="BL546" s="1" t="s">
        <v>74</v>
      </c>
      <c r="BM546" s="1" t="s">
        <v>74</v>
      </c>
      <c r="BN546" s="1">
        <v>3.6661645E7</v>
      </c>
      <c r="BO546" s="1" t="s">
        <v>74</v>
      </c>
      <c r="BP546" s="1" t="s">
        <v>74</v>
      </c>
      <c r="BQ546" s="1" t="s">
        <v>74</v>
      </c>
      <c r="BR546" s="1" t="s">
        <v>74</v>
      </c>
      <c r="BS546" s="1" t="s">
        <v>5650</v>
      </c>
      <c r="BT546" s="1" t="str">
        <f>HYPERLINK("https%3A%2F%2Fwww.webofscience.com%2Fwos%2Fwoscc%2Ffull-record%2FWOS:000916715300001","View Full Record in Web of Science")</f>
        <v>View Full Record in Web of Science</v>
      </c>
    </row>
    <row r="547" ht="12.75" customHeight="1">
      <c r="A547" s="1" t="s">
        <v>72</v>
      </c>
      <c r="B547" s="1" t="s">
        <v>5651</v>
      </c>
      <c r="C547" s="1" t="s">
        <v>74</v>
      </c>
      <c r="D547" s="1" t="s">
        <v>74</v>
      </c>
      <c r="E547" s="1" t="s">
        <v>74</v>
      </c>
      <c r="F547" s="1" t="s">
        <v>5652</v>
      </c>
      <c r="G547" s="1" t="s">
        <v>74</v>
      </c>
      <c r="H547" s="1" t="s">
        <v>74</v>
      </c>
      <c r="I547" s="1" t="s">
        <v>5653</v>
      </c>
      <c r="J547" s="1" t="s">
        <v>5654</v>
      </c>
      <c r="K547" s="1" t="s">
        <v>74</v>
      </c>
      <c r="L547" s="1" t="s">
        <v>74</v>
      </c>
      <c r="M547" s="1" t="s">
        <v>74</v>
      </c>
      <c r="N547" s="1" t="s">
        <v>74</v>
      </c>
      <c r="O547" s="1" t="s">
        <v>74</v>
      </c>
      <c r="P547" s="1" t="s">
        <v>74</v>
      </c>
      <c r="Q547" s="1" t="s">
        <v>74</v>
      </c>
      <c r="R547" s="1" t="s">
        <v>74</v>
      </c>
      <c r="S547" s="1" t="s">
        <v>74</v>
      </c>
      <c r="T547" s="1" t="s">
        <v>74</v>
      </c>
      <c r="U547" s="1" t="s">
        <v>74</v>
      </c>
      <c r="V547" s="1" t="s">
        <v>5655</v>
      </c>
      <c r="W547" s="1" t="s">
        <v>74</v>
      </c>
      <c r="X547" s="1" t="s">
        <v>74</v>
      </c>
      <c r="Y547" s="1" t="s">
        <v>74</v>
      </c>
      <c r="Z547" s="1" t="s">
        <v>74</v>
      </c>
      <c r="AA547" s="1" t="s">
        <v>5656</v>
      </c>
      <c r="AB547" s="1" t="s">
        <v>5657</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5658</v>
      </c>
      <c r="AP547" s="1" t="s">
        <v>5659</v>
      </c>
      <c r="AQ547" s="1" t="s">
        <v>74</v>
      </c>
      <c r="AR547" s="1" t="s">
        <v>74</v>
      </c>
      <c r="AS547" s="1" t="s">
        <v>74</v>
      </c>
      <c r="AT547" s="1" t="s">
        <v>745</v>
      </c>
      <c r="AU547" s="1">
        <v>2022.0</v>
      </c>
      <c r="AV547" s="1">
        <v>29.0</v>
      </c>
      <c r="AW547" s="1">
        <v>7.0</v>
      </c>
      <c r="AX547" s="1" t="s">
        <v>74</v>
      </c>
      <c r="AY547" s="1" t="s">
        <v>74</v>
      </c>
      <c r="AZ547" s="1" t="s">
        <v>74</v>
      </c>
      <c r="BA547" s="1" t="s">
        <v>74</v>
      </c>
      <c r="BB547" s="1">
        <v>160.0</v>
      </c>
      <c r="BC547" s="1">
        <v>170.0</v>
      </c>
      <c r="BD547" s="1" t="s">
        <v>74</v>
      </c>
      <c r="BE547" s="1" t="s">
        <v>5660</v>
      </c>
      <c r="BF547" s="2" t="str">
        <f>HYPERLINK("http://dx.doi.org/10.1101/lm.053602.122","http://dx.doi.org/10.1101/lm.053602.122")</f>
        <v>http://dx.doi.org/10.1101/lm.053602.122</v>
      </c>
      <c r="BG547" s="1" t="s">
        <v>74</v>
      </c>
      <c r="BH547" s="1" t="s">
        <v>74</v>
      </c>
      <c r="BI547" s="1" t="s">
        <v>74</v>
      </c>
      <c r="BJ547" s="1" t="s">
        <v>74</v>
      </c>
      <c r="BK547" s="1" t="s">
        <v>74</v>
      </c>
      <c r="BL547" s="1" t="s">
        <v>74</v>
      </c>
      <c r="BM547" s="1" t="s">
        <v>74</v>
      </c>
      <c r="BN547" s="1">
        <v>3.5710303E7</v>
      </c>
      <c r="BO547" s="1" t="s">
        <v>74</v>
      </c>
      <c r="BP547" s="1" t="s">
        <v>74</v>
      </c>
      <c r="BQ547" s="1" t="s">
        <v>74</v>
      </c>
      <c r="BR547" s="1" t="s">
        <v>74</v>
      </c>
      <c r="BS547" s="1" t="s">
        <v>5661</v>
      </c>
      <c r="BT547" s="1" t="str">
        <f>HYPERLINK("https%3A%2F%2Fwww.webofscience.com%2Fwos%2Fwoscc%2Ffull-record%2FWOS:000828716200001","View Full Record in Web of Science")</f>
        <v>View Full Record in Web of Science</v>
      </c>
    </row>
    <row r="548" ht="12.75" customHeight="1">
      <c r="A548" s="1" t="s">
        <v>72</v>
      </c>
      <c r="B548" s="1" t="s">
        <v>5662</v>
      </c>
      <c r="C548" s="1" t="s">
        <v>74</v>
      </c>
      <c r="D548" s="1" t="s">
        <v>74</v>
      </c>
      <c r="E548" s="1" t="s">
        <v>74</v>
      </c>
      <c r="F548" s="1" t="s">
        <v>5663</v>
      </c>
      <c r="G548" s="1" t="s">
        <v>74</v>
      </c>
      <c r="H548" s="1" t="s">
        <v>74</v>
      </c>
      <c r="I548" s="1" t="s">
        <v>5664</v>
      </c>
      <c r="J548" s="1" t="s">
        <v>480</v>
      </c>
      <c r="K548" s="1" t="s">
        <v>74</v>
      </c>
      <c r="L548" s="1" t="s">
        <v>74</v>
      </c>
      <c r="M548" s="1" t="s">
        <v>74</v>
      </c>
      <c r="N548" s="1" t="s">
        <v>74</v>
      </c>
      <c r="O548" s="1" t="s">
        <v>74</v>
      </c>
      <c r="P548" s="1" t="s">
        <v>74</v>
      </c>
      <c r="Q548" s="1" t="s">
        <v>74</v>
      </c>
      <c r="R548" s="1" t="s">
        <v>74</v>
      </c>
      <c r="S548" s="1" t="s">
        <v>74</v>
      </c>
      <c r="T548" s="1" t="s">
        <v>74</v>
      </c>
      <c r="U548" s="1" t="s">
        <v>74</v>
      </c>
      <c r="V548" s="1" t="s">
        <v>5665</v>
      </c>
      <c r="W548" s="1" t="s">
        <v>74</v>
      </c>
      <c r="X548" s="1" t="s">
        <v>74</v>
      </c>
      <c r="Y548" s="1" t="s">
        <v>74</v>
      </c>
      <c r="Z548" s="1" t="s">
        <v>74</v>
      </c>
      <c r="AA548" s="1" t="s">
        <v>5666</v>
      </c>
      <c r="AB548" s="1" t="s">
        <v>5667</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484</v>
      </c>
      <c r="AP548" s="1" t="s">
        <v>74</v>
      </c>
      <c r="AQ548" s="1" t="s">
        <v>74</v>
      </c>
      <c r="AR548" s="1" t="s">
        <v>74</v>
      </c>
      <c r="AS548" s="1" t="s">
        <v>74</v>
      </c>
      <c r="AT548" s="1" t="s">
        <v>5668</v>
      </c>
      <c r="AU548" s="1">
        <v>2019.0</v>
      </c>
      <c r="AV548" s="1">
        <v>9.0</v>
      </c>
      <c r="AW548" s="1" t="s">
        <v>74</v>
      </c>
      <c r="AX548" s="1" t="s">
        <v>74</v>
      </c>
      <c r="AY548" s="1" t="s">
        <v>74</v>
      </c>
      <c r="AZ548" s="1" t="s">
        <v>74</v>
      </c>
      <c r="BA548" s="1" t="s">
        <v>74</v>
      </c>
      <c r="BB548" s="1" t="s">
        <v>74</v>
      </c>
      <c r="BC548" s="1" t="s">
        <v>74</v>
      </c>
      <c r="BD548" s="1">
        <v>6986.0</v>
      </c>
      <c r="BE548" s="1" t="s">
        <v>5669</v>
      </c>
      <c r="BF548" s="2" t="str">
        <f>HYPERLINK("http://dx.doi.org/10.1038/s41598-019-43471-5","http://dx.doi.org/10.1038/s41598-019-43471-5")</f>
        <v>http://dx.doi.org/10.1038/s41598-019-43471-5</v>
      </c>
      <c r="BG548" s="1" t="s">
        <v>74</v>
      </c>
      <c r="BH548" s="1" t="s">
        <v>74</v>
      </c>
      <c r="BI548" s="1" t="s">
        <v>74</v>
      </c>
      <c r="BJ548" s="1" t="s">
        <v>74</v>
      </c>
      <c r="BK548" s="1" t="s">
        <v>74</v>
      </c>
      <c r="BL548" s="1" t="s">
        <v>74</v>
      </c>
      <c r="BM548" s="1" t="s">
        <v>74</v>
      </c>
      <c r="BN548" s="1">
        <v>3.1061449E7</v>
      </c>
      <c r="BO548" s="1" t="s">
        <v>74</v>
      </c>
      <c r="BP548" s="1" t="s">
        <v>74</v>
      </c>
      <c r="BQ548" s="1" t="s">
        <v>74</v>
      </c>
      <c r="BR548" s="1" t="s">
        <v>74</v>
      </c>
      <c r="BS548" s="1" t="s">
        <v>5670</v>
      </c>
      <c r="BT548" s="1" t="str">
        <f>HYPERLINK("https%3A%2F%2Fwww.webofscience.com%2Fwos%2Fwoscc%2Ffull-record%2FWOS:000466881600003","View Full Record in Web of Science")</f>
        <v>View Full Record in Web of Science</v>
      </c>
    </row>
    <row r="549" ht="12.75" customHeight="1">
      <c r="A549" s="1" t="s">
        <v>72</v>
      </c>
      <c r="B549" s="1" t="s">
        <v>5671</v>
      </c>
      <c r="C549" s="1" t="s">
        <v>74</v>
      </c>
      <c r="D549" s="1" t="s">
        <v>74</v>
      </c>
      <c r="E549" s="1" t="s">
        <v>74</v>
      </c>
      <c r="F549" s="1" t="s">
        <v>5672</v>
      </c>
      <c r="G549" s="1" t="s">
        <v>74</v>
      </c>
      <c r="H549" s="1" t="s">
        <v>74</v>
      </c>
      <c r="I549" s="1" t="s">
        <v>5673</v>
      </c>
      <c r="J549" s="1" t="s">
        <v>5674</v>
      </c>
      <c r="K549" s="1" t="s">
        <v>74</v>
      </c>
      <c r="L549" s="1" t="s">
        <v>74</v>
      </c>
      <c r="M549" s="1" t="s">
        <v>74</v>
      </c>
      <c r="N549" s="1" t="s">
        <v>74</v>
      </c>
      <c r="O549" s="1" t="s">
        <v>74</v>
      </c>
      <c r="P549" s="1" t="s">
        <v>74</v>
      </c>
      <c r="Q549" s="1" t="s">
        <v>74</v>
      </c>
      <c r="R549" s="1" t="s">
        <v>74</v>
      </c>
      <c r="S549" s="1" t="s">
        <v>74</v>
      </c>
      <c r="T549" s="1" t="s">
        <v>74</v>
      </c>
      <c r="U549" s="1" t="s">
        <v>74</v>
      </c>
      <c r="V549" s="1" t="s">
        <v>5675</v>
      </c>
      <c r="W549" s="1" t="s">
        <v>74</v>
      </c>
      <c r="X549" s="1" t="s">
        <v>74</v>
      </c>
      <c r="Y549" s="1" t="s">
        <v>74</v>
      </c>
      <c r="Z549" s="1" t="s">
        <v>74</v>
      </c>
      <c r="AA549" s="1" t="s">
        <v>5676</v>
      </c>
      <c r="AB549" s="1" t="s">
        <v>2815</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5677</v>
      </c>
      <c r="AP549" s="1" t="s">
        <v>5678</v>
      </c>
      <c r="AQ549" s="1" t="s">
        <v>74</v>
      </c>
      <c r="AR549" s="1" t="s">
        <v>74</v>
      </c>
      <c r="AS549" s="1" t="s">
        <v>74</v>
      </c>
      <c r="AT549" s="1" t="s">
        <v>346</v>
      </c>
      <c r="AU549" s="1">
        <v>2025.0</v>
      </c>
      <c r="AV549" s="1">
        <v>100.0</v>
      </c>
      <c r="AW549" s="1">
        <v>3.0</v>
      </c>
      <c r="AX549" s="1" t="s">
        <v>74</v>
      </c>
      <c r="AY549" s="1" t="s">
        <v>74</v>
      </c>
      <c r="AZ549" s="1" t="s">
        <v>74</v>
      </c>
      <c r="BA549" s="1" t="s">
        <v>74</v>
      </c>
      <c r="BB549" s="1">
        <v>478.0</v>
      </c>
      <c r="BC549" s="1">
        <v>487.0</v>
      </c>
      <c r="BD549" s="1" t="s">
        <v>74</v>
      </c>
      <c r="BE549" s="1" t="s">
        <v>5679</v>
      </c>
      <c r="BF549" s="2" t="str">
        <f>HYPERLINK("http://dx.doi.org/10.1016/j.mayocp.2024.07.025","http://dx.doi.org/10.1016/j.mayocp.2024.07.025")</f>
        <v>http://dx.doi.org/10.1016/j.mayocp.2024.07.025</v>
      </c>
      <c r="BG549" s="1" t="s">
        <v>74</v>
      </c>
      <c r="BH549" s="1" t="s">
        <v>4881</v>
      </c>
      <c r="BI549" s="1" t="s">
        <v>74</v>
      </c>
      <c r="BJ549" s="1" t="s">
        <v>74</v>
      </c>
      <c r="BK549" s="1" t="s">
        <v>74</v>
      </c>
      <c r="BL549" s="1" t="s">
        <v>74</v>
      </c>
      <c r="BM549" s="1" t="s">
        <v>74</v>
      </c>
      <c r="BN549" s="1">
        <v>3.991845E7</v>
      </c>
      <c r="BO549" s="1" t="s">
        <v>74</v>
      </c>
      <c r="BP549" s="1" t="s">
        <v>74</v>
      </c>
      <c r="BQ549" s="1" t="s">
        <v>74</v>
      </c>
      <c r="BR549" s="1" t="s">
        <v>74</v>
      </c>
      <c r="BS549" s="1" t="s">
        <v>5680</v>
      </c>
      <c r="BT549" s="1" t="str">
        <f>HYPERLINK("https%3A%2F%2Fwww.webofscience.com%2Fwos%2Fwoscc%2Ffull-record%2FWOS:001438708500001","View Full Record in Web of Science")</f>
        <v>View Full Record in Web of Science</v>
      </c>
    </row>
    <row r="550" ht="12.75" customHeight="1">
      <c r="A550" s="1" t="s">
        <v>72</v>
      </c>
      <c r="B550" s="1" t="s">
        <v>5681</v>
      </c>
      <c r="C550" s="1" t="s">
        <v>74</v>
      </c>
      <c r="D550" s="1" t="s">
        <v>74</v>
      </c>
      <c r="E550" s="1" t="s">
        <v>74</v>
      </c>
      <c r="F550" s="1" t="s">
        <v>5682</v>
      </c>
      <c r="G550" s="1" t="s">
        <v>74</v>
      </c>
      <c r="H550" s="1" t="s">
        <v>74</v>
      </c>
      <c r="I550" s="1" t="s">
        <v>5683</v>
      </c>
      <c r="J550" s="1" t="s">
        <v>147</v>
      </c>
      <c r="K550" s="1" t="s">
        <v>74</v>
      </c>
      <c r="L550" s="1" t="s">
        <v>74</v>
      </c>
      <c r="M550" s="1" t="s">
        <v>74</v>
      </c>
      <c r="N550" s="1" t="s">
        <v>74</v>
      </c>
      <c r="O550" s="1" t="s">
        <v>74</v>
      </c>
      <c r="P550" s="1" t="s">
        <v>74</v>
      </c>
      <c r="Q550" s="1" t="s">
        <v>74</v>
      </c>
      <c r="R550" s="1" t="s">
        <v>74</v>
      </c>
      <c r="S550" s="1" t="s">
        <v>74</v>
      </c>
      <c r="T550" s="1" t="s">
        <v>74</v>
      </c>
      <c r="U550" s="1" t="s">
        <v>74</v>
      </c>
      <c r="V550" s="1" t="s">
        <v>5684</v>
      </c>
      <c r="W550" s="1" t="s">
        <v>74</v>
      </c>
      <c r="X550" s="1" t="s">
        <v>74</v>
      </c>
      <c r="Y550" s="1" t="s">
        <v>74</v>
      </c>
      <c r="Z550" s="1" t="s">
        <v>74</v>
      </c>
      <c r="AA550" s="1" t="s">
        <v>5685</v>
      </c>
      <c r="AB550" s="1" t="s">
        <v>5686</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151</v>
      </c>
      <c r="AP550" s="1" t="s">
        <v>74</v>
      </c>
      <c r="AQ550" s="1" t="s">
        <v>74</v>
      </c>
      <c r="AR550" s="1" t="s">
        <v>74</v>
      </c>
      <c r="AS550" s="1" t="s">
        <v>74</v>
      </c>
      <c r="AT550" s="1" t="s">
        <v>5687</v>
      </c>
      <c r="AU550" s="1">
        <v>2023.0</v>
      </c>
      <c r="AV550" s="1">
        <v>18.0</v>
      </c>
      <c r="AW550" s="1">
        <v>6.0</v>
      </c>
      <c r="AX550" s="1" t="s">
        <v>74</v>
      </c>
      <c r="AY550" s="1" t="s">
        <v>74</v>
      </c>
      <c r="AZ550" s="1" t="s">
        <v>74</v>
      </c>
      <c r="BA550" s="1" t="s">
        <v>74</v>
      </c>
      <c r="BB550" s="1" t="s">
        <v>74</v>
      </c>
      <c r="BC550" s="1" t="s">
        <v>74</v>
      </c>
      <c r="BD550" s="1" t="s">
        <v>5688</v>
      </c>
      <c r="BE550" s="1" t="s">
        <v>5689</v>
      </c>
      <c r="BF550" s="2" t="str">
        <f>HYPERLINK("http://dx.doi.org/10.1371/journal.pone.0286397","http://dx.doi.org/10.1371/journal.pone.0286397")</f>
        <v>http://dx.doi.org/10.1371/journal.pone.0286397</v>
      </c>
      <c r="BG550" s="1" t="s">
        <v>74</v>
      </c>
      <c r="BH550" s="1" t="s">
        <v>74</v>
      </c>
      <c r="BI550" s="1" t="s">
        <v>74</v>
      </c>
      <c r="BJ550" s="1" t="s">
        <v>74</v>
      </c>
      <c r="BK550" s="1" t="s">
        <v>74</v>
      </c>
      <c r="BL550" s="1" t="s">
        <v>74</v>
      </c>
      <c r="BM550" s="1" t="s">
        <v>74</v>
      </c>
      <c r="BN550" s="1">
        <v>3.7314973E7</v>
      </c>
      <c r="BO550" s="1" t="s">
        <v>74</v>
      </c>
      <c r="BP550" s="1" t="s">
        <v>74</v>
      </c>
      <c r="BQ550" s="1" t="s">
        <v>74</v>
      </c>
      <c r="BR550" s="1" t="s">
        <v>74</v>
      </c>
      <c r="BS550" s="1" t="s">
        <v>5690</v>
      </c>
      <c r="BT550" s="1" t="str">
        <f>HYPERLINK("https%3A%2F%2Fwww.webofscience.com%2Fwos%2Fwoscc%2Ffull-record%2FWOS:001010646600029","View Full Record in Web of Science")</f>
        <v>View Full Record in Web of Science</v>
      </c>
    </row>
    <row r="551" ht="12.75" customHeight="1">
      <c r="A551" s="1" t="s">
        <v>72</v>
      </c>
      <c r="B551" s="1" t="s">
        <v>5691</v>
      </c>
      <c r="C551" s="1" t="s">
        <v>74</v>
      </c>
      <c r="D551" s="1" t="s">
        <v>74</v>
      </c>
      <c r="E551" s="1" t="s">
        <v>74</v>
      </c>
      <c r="F551" s="1" t="s">
        <v>5692</v>
      </c>
      <c r="G551" s="1" t="s">
        <v>74</v>
      </c>
      <c r="H551" s="1" t="s">
        <v>74</v>
      </c>
      <c r="I551" s="1" t="s">
        <v>5693</v>
      </c>
      <c r="J551" s="1" t="s">
        <v>739</v>
      </c>
      <c r="K551" s="1" t="s">
        <v>74</v>
      </c>
      <c r="L551" s="1" t="s">
        <v>74</v>
      </c>
      <c r="M551" s="1" t="s">
        <v>74</v>
      </c>
      <c r="N551" s="1" t="s">
        <v>74</v>
      </c>
      <c r="O551" s="1" t="s">
        <v>74</v>
      </c>
      <c r="P551" s="1" t="s">
        <v>74</v>
      </c>
      <c r="Q551" s="1" t="s">
        <v>74</v>
      </c>
      <c r="R551" s="1" t="s">
        <v>74</v>
      </c>
      <c r="S551" s="1" t="s">
        <v>74</v>
      </c>
      <c r="T551" s="1" t="s">
        <v>74</v>
      </c>
      <c r="U551" s="1" t="s">
        <v>74</v>
      </c>
      <c r="V551" s="1" t="s">
        <v>5694</v>
      </c>
      <c r="W551" s="1" t="s">
        <v>74</v>
      </c>
      <c r="X551" s="1" t="s">
        <v>74</v>
      </c>
      <c r="Y551" s="1" t="s">
        <v>74</v>
      </c>
      <c r="Z551" s="1" t="s">
        <v>74</v>
      </c>
      <c r="AA551" s="1" t="s">
        <v>5695</v>
      </c>
      <c r="AB551" s="1" t="s">
        <v>5696</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743</v>
      </c>
      <c r="AP551" s="1" t="s">
        <v>744</v>
      </c>
      <c r="AQ551" s="1" t="s">
        <v>74</v>
      </c>
      <c r="AR551" s="1" t="s">
        <v>74</v>
      </c>
      <c r="AS551" s="1" t="s">
        <v>74</v>
      </c>
      <c r="AT551" s="1" t="s">
        <v>5697</v>
      </c>
      <c r="AU551" s="1">
        <v>2019.0</v>
      </c>
      <c r="AV551" s="1">
        <v>99.0</v>
      </c>
      <c r="AW551" s="1">
        <v>18.0</v>
      </c>
      <c r="AX551" s="1" t="s">
        <v>74</v>
      </c>
      <c r="AY551" s="1" t="s">
        <v>74</v>
      </c>
      <c r="AZ551" s="1" t="s">
        <v>74</v>
      </c>
      <c r="BA551" s="1" t="s">
        <v>74</v>
      </c>
      <c r="BB551" s="1" t="s">
        <v>74</v>
      </c>
      <c r="BC551" s="1" t="s">
        <v>74</v>
      </c>
      <c r="BD551" s="1">
        <v>184442.0</v>
      </c>
      <c r="BE551" s="1" t="s">
        <v>5698</v>
      </c>
      <c r="BF551" s="2" t="str">
        <f>HYPERLINK("http://dx.doi.org/10.1103/PhysRevB.99.184442","http://dx.doi.org/10.1103/PhysRevB.99.184442")</f>
        <v>http://dx.doi.org/10.1103/PhysRevB.99.184442</v>
      </c>
      <c r="BG551" s="1" t="s">
        <v>74</v>
      </c>
      <c r="BH551" s="1" t="s">
        <v>74</v>
      </c>
      <c r="BI551" s="1" t="s">
        <v>74</v>
      </c>
      <c r="BJ551" s="1" t="s">
        <v>74</v>
      </c>
      <c r="BK551" s="1" t="s">
        <v>74</v>
      </c>
      <c r="BL551" s="1" t="s">
        <v>74</v>
      </c>
      <c r="BM551" s="1" t="s">
        <v>74</v>
      </c>
      <c r="BN551" s="1" t="s">
        <v>74</v>
      </c>
      <c r="BO551" s="1" t="s">
        <v>74</v>
      </c>
      <c r="BP551" s="1" t="s">
        <v>74</v>
      </c>
      <c r="BQ551" s="1" t="s">
        <v>74</v>
      </c>
      <c r="BR551" s="1" t="s">
        <v>74</v>
      </c>
      <c r="BS551" s="1" t="s">
        <v>5699</v>
      </c>
      <c r="BT551" s="1" t="str">
        <f>HYPERLINK("https%3A%2F%2Fwww.webofscience.com%2Fwos%2Fwoscc%2Ffull-record%2FWOS:000469325500012","View Full Record in Web of Science")</f>
        <v>View Full Record in Web of Science</v>
      </c>
    </row>
    <row r="552" ht="12.75" customHeight="1">
      <c r="A552" s="1" t="s">
        <v>72</v>
      </c>
      <c r="B552" s="1" t="s">
        <v>5700</v>
      </c>
      <c r="C552" s="1" t="s">
        <v>74</v>
      </c>
      <c r="D552" s="1" t="s">
        <v>74</v>
      </c>
      <c r="E552" s="1" t="s">
        <v>74</v>
      </c>
      <c r="F552" s="1" t="s">
        <v>5701</v>
      </c>
      <c r="G552" s="1" t="s">
        <v>74</v>
      </c>
      <c r="H552" s="1" t="s">
        <v>74</v>
      </c>
      <c r="I552" s="1" t="s">
        <v>5702</v>
      </c>
      <c r="J552" s="1" t="s">
        <v>2532</v>
      </c>
      <c r="K552" s="1" t="s">
        <v>74</v>
      </c>
      <c r="L552" s="1" t="s">
        <v>74</v>
      </c>
      <c r="M552" s="1" t="s">
        <v>74</v>
      </c>
      <c r="N552" s="1" t="s">
        <v>74</v>
      </c>
      <c r="O552" s="1" t="s">
        <v>74</v>
      </c>
      <c r="P552" s="1" t="s">
        <v>74</v>
      </c>
      <c r="Q552" s="1" t="s">
        <v>74</v>
      </c>
      <c r="R552" s="1" t="s">
        <v>74</v>
      </c>
      <c r="S552" s="1" t="s">
        <v>74</v>
      </c>
      <c r="T552" s="1" t="s">
        <v>74</v>
      </c>
      <c r="U552" s="1" t="s">
        <v>74</v>
      </c>
      <c r="V552" s="1" t="s">
        <v>5703</v>
      </c>
      <c r="W552" s="1" t="s">
        <v>74</v>
      </c>
      <c r="X552" s="1" t="s">
        <v>74</v>
      </c>
      <c r="Y552" s="1" t="s">
        <v>74</v>
      </c>
      <c r="Z552" s="1" t="s">
        <v>74</v>
      </c>
      <c r="AA552" s="1" t="s">
        <v>5704</v>
      </c>
      <c r="AB552" s="1" t="s">
        <v>5705</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2536</v>
      </c>
      <c r="AP552" s="1" t="s">
        <v>2537</v>
      </c>
      <c r="AQ552" s="1" t="s">
        <v>74</v>
      </c>
      <c r="AR552" s="1" t="s">
        <v>74</v>
      </c>
      <c r="AS552" s="1" t="s">
        <v>74</v>
      </c>
      <c r="AT552" s="1" t="s">
        <v>936</v>
      </c>
      <c r="AU552" s="1">
        <v>2013.0</v>
      </c>
      <c r="AV552" s="1">
        <v>395.0</v>
      </c>
      <c r="AW552" s="1" t="s">
        <v>74</v>
      </c>
      <c r="AX552" s="1" t="s">
        <v>74</v>
      </c>
      <c r="AY552" s="1" t="s">
        <v>74</v>
      </c>
      <c r="AZ552" s="1" t="s">
        <v>74</v>
      </c>
      <c r="BA552" s="1" t="s">
        <v>74</v>
      </c>
      <c r="BB552" s="1">
        <v>176.0</v>
      </c>
      <c r="BC552" s="1">
        <v>180.0</v>
      </c>
      <c r="BD552" s="1" t="s">
        <v>74</v>
      </c>
      <c r="BE552" s="1" t="s">
        <v>5706</v>
      </c>
      <c r="BF552" s="2" t="str">
        <f>HYPERLINK("http://dx.doi.org/10.1016/j.ica.2012.10.024","http://dx.doi.org/10.1016/j.ica.2012.10.024")</f>
        <v>http://dx.doi.org/10.1016/j.ica.2012.10.024</v>
      </c>
      <c r="BG552" s="1" t="s">
        <v>74</v>
      </c>
      <c r="BH552" s="1" t="s">
        <v>74</v>
      </c>
      <c r="BI552" s="1" t="s">
        <v>74</v>
      </c>
      <c r="BJ552" s="1" t="s">
        <v>74</v>
      </c>
      <c r="BK552" s="1" t="s">
        <v>74</v>
      </c>
      <c r="BL552" s="1" t="s">
        <v>74</v>
      </c>
      <c r="BM552" s="1" t="s">
        <v>74</v>
      </c>
      <c r="BN552" s="1" t="s">
        <v>74</v>
      </c>
      <c r="BO552" s="1" t="s">
        <v>74</v>
      </c>
      <c r="BP552" s="1" t="s">
        <v>74</v>
      </c>
      <c r="BQ552" s="1" t="s">
        <v>74</v>
      </c>
      <c r="BR552" s="1" t="s">
        <v>74</v>
      </c>
      <c r="BS552" s="1" t="s">
        <v>5707</v>
      </c>
      <c r="BT552" s="1" t="str">
        <f>HYPERLINK("https%3A%2F%2Fwww.webofscience.com%2Fwos%2Fwoscc%2Ffull-record%2FWOS:000316740200023","View Full Record in Web of Science")</f>
        <v>View Full Record in Web of Science</v>
      </c>
    </row>
    <row r="553" ht="12.75" customHeight="1">
      <c r="A553" s="1" t="s">
        <v>72</v>
      </c>
      <c r="B553" s="1" t="s">
        <v>5708</v>
      </c>
      <c r="C553" s="1" t="s">
        <v>74</v>
      </c>
      <c r="D553" s="1" t="s">
        <v>74</v>
      </c>
      <c r="E553" s="1" t="s">
        <v>74</v>
      </c>
      <c r="F553" s="1" t="s">
        <v>5709</v>
      </c>
      <c r="G553" s="1" t="s">
        <v>74</v>
      </c>
      <c r="H553" s="1" t="s">
        <v>74</v>
      </c>
      <c r="I553" s="1" t="s">
        <v>5710</v>
      </c>
      <c r="J553" s="1" t="s">
        <v>5711</v>
      </c>
      <c r="K553" s="1" t="s">
        <v>74</v>
      </c>
      <c r="L553" s="1" t="s">
        <v>74</v>
      </c>
      <c r="M553" s="1" t="s">
        <v>74</v>
      </c>
      <c r="N553" s="1" t="s">
        <v>74</v>
      </c>
      <c r="O553" s="1" t="s">
        <v>74</v>
      </c>
      <c r="P553" s="1" t="s">
        <v>74</v>
      </c>
      <c r="Q553" s="1" t="s">
        <v>74</v>
      </c>
      <c r="R553" s="1" t="s">
        <v>74</v>
      </c>
      <c r="S553" s="1" t="s">
        <v>74</v>
      </c>
      <c r="T553" s="1" t="s">
        <v>74</v>
      </c>
      <c r="U553" s="1" t="s">
        <v>74</v>
      </c>
      <c r="V553" s="1" t="s">
        <v>5712</v>
      </c>
      <c r="W553" s="1" t="s">
        <v>74</v>
      </c>
      <c r="X553" s="1" t="s">
        <v>74</v>
      </c>
      <c r="Y553" s="1" t="s">
        <v>74</v>
      </c>
      <c r="Z553" s="1" t="s">
        <v>74</v>
      </c>
      <c r="AA553" s="1" t="s">
        <v>5713</v>
      </c>
      <c r="AB553" s="1" t="s">
        <v>5714</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5715</v>
      </c>
      <c r="AP553" s="1" t="s">
        <v>5716</v>
      </c>
      <c r="AQ553" s="1" t="s">
        <v>74</v>
      </c>
      <c r="AR553" s="1" t="s">
        <v>74</v>
      </c>
      <c r="AS553" s="1" t="s">
        <v>74</v>
      </c>
      <c r="AT553" s="1" t="s">
        <v>94</v>
      </c>
      <c r="AU553" s="1">
        <v>2023.0</v>
      </c>
      <c r="AV553" s="1">
        <v>133.0</v>
      </c>
      <c r="AW553" s="1">
        <v>4.0</v>
      </c>
      <c r="AX553" s="1" t="s">
        <v>74</v>
      </c>
      <c r="AY553" s="1" t="s">
        <v>74</v>
      </c>
      <c r="AZ553" s="1" t="s">
        <v>74</v>
      </c>
      <c r="BA553" s="1" t="s">
        <v>74</v>
      </c>
      <c r="BB553" s="1">
        <v>2067.0</v>
      </c>
      <c r="BC553" s="1">
        <v>2086.0</v>
      </c>
      <c r="BD553" s="1" t="s">
        <v>74</v>
      </c>
      <c r="BE553" s="1" t="s">
        <v>5717</v>
      </c>
      <c r="BF553" s="2" t="str">
        <f>HYPERLINK("http://dx.doi.org/10.1007/s11277-023-10786-6","http://dx.doi.org/10.1007/s11277-023-10786-6")</f>
        <v>http://dx.doi.org/10.1007/s11277-023-10786-6</v>
      </c>
      <c r="BG553" s="1" t="s">
        <v>74</v>
      </c>
      <c r="BH553" s="1" t="s">
        <v>1329</v>
      </c>
      <c r="BI553" s="1" t="s">
        <v>74</v>
      </c>
      <c r="BJ553" s="1" t="s">
        <v>74</v>
      </c>
      <c r="BK553" s="1" t="s">
        <v>74</v>
      </c>
      <c r="BL553" s="1" t="s">
        <v>74</v>
      </c>
      <c r="BM553" s="1" t="s">
        <v>74</v>
      </c>
      <c r="BN553" s="1" t="s">
        <v>74</v>
      </c>
      <c r="BO553" s="1" t="s">
        <v>74</v>
      </c>
      <c r="BP553" s="1" t="s">
        <v>74</v>
      </c>
      <c r="BQ553" s="1" t="s">
        <v>74</v>
      </c>
      <c r="BR553" s="1" t="s">
        <v>74</v>
      </c>
      <c r="BS553" s="1" t="s">
        <v>5718</v>
      </c>
      <c r="BT553" s="1" t="str">
        <f>HYPERLINK("https%3A%2F%2Fwww.webofscience.com%2Fwos%2Fwoscc%2Ffull-record%2FWOS:001161339400001","View Full Record in Web of Science")</f>
        <v>View Full Record in Web of Science</v>
      </c>
    </row>
    <row r="554" ht="12.75" customHeight="1">
      <c r="A554" s="1" t="s">
        <v>72</v>
      </c>
      <c r="B554" s="1" t="s">
        <v>5719</v>
      </c>
      <c r="C554" s="1" t="s">
        <v>74</v>
      </c>
      <c r="D554" s="1" t="s">
        <v>74</v>
      </c>
      <c r="E554" s="1" t="s">
        <v>74</v>
      </c>
      <c r="F554" s="1" t="s">
        <v>5720</v>
      </c>
      <c r="G554" s="1" t="s">
        <v>74</v>
      </c>
      <c r="H554" s="1" t="s">
        <v>74</v>
      </c>
      <c r="I554" s="1" t="s">
        <v>5721</v>
      </c>
      <c r="J554" s="1" t="s">
        <v>5722</v>
      </c>
      <c r="K554" s="1" t="s">
        <v>74</v>
      </c>
      <c r="L554" s="1" t="s">
        <v>74</v>
      </c>
      <c r="M554" s="1" t="s">
        <v>74</v>
      </c>
      <c r="N554" s="1" t="s">
        <v>74</v>
      </c>
      <c r="O554" s="1" t="s">
        <v>74</v>
      </c>
      <c r="P554" s="1" t="s">
        <v>74</v>
      </c>
      <c r="Q554" s="1" t="s">
        <v>74</v>
      </c>
      <c r="R554" s="1" t="s">
        <v>74</v>
      </c>
      <c r="S554" s="1" t="s">
        <v>74</v>
      </c>
      <c r="T554" s="1" t="s">
        <v>74</v>
      </c>
      <c r="U554" s="1" t="s">
        <v>74</v>
      </c>
      <c r="V554" s="1" t="s">
        <v>5723</v>
      </c>
      <c r="W554" s="1" t="s">
        <v>74</v>
      </c>
      <c r="X554" s="1" t="s">
        <v>74</v>
      </c>
      <c r="Y554" s="1" t="s">
        <v>74</v>
      </c>
      <c r="Z554" s="1" t="s">
        <v>74</v>
      </c>
      <c r="AA554" s="1" t="s">
        <v>5724</v>
      </c>
      <c r="AB554" s="1" t="s">
        <v>5725</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5726</v>
      </c>
      <c r="AP554" s="1" t="s">
        <v>5727</v>
      </c>
      <c r="AQ554" s="1" t="s">
        <v>74</v>
      </c>
      <c r="AR554" s="1" t="s">
        <v>74</v>
      </c>
      <c r="AS554" s="1" t="s">
        <v>74</v>
      </c>
      <c r="AT554" s="1" t="s">
        <v>5404</v>
      </c>
      <c r="AU554" s="1">
        <v>2022.0</v>
      </c>
      <c r="AV554" s="1">
        <v>370.0</v>
      </c>
      <c r="AW554" s="1" t="s">
        <v>74</v>
      </c>
      <c r="AX554" s="1" t="s">
        <v>74</v>
      </c>
      <c r="AY554" s="1" t="s">
        <v>74</v>
      </c>
      <c r="AZ554" s="1" t="s">
        <v>74</v>
      </c>
      <c r="BA554" s="1" t="s">
        <v>74</v>
      </c>
      <c r="BB554" s="1" t="s">
        <v>74</v>
      </c>
      <c r="BC554" s="1" t="s">
        <v>74</v>
      </c>
      <c r="BD554" s="1">
        <v>131101.0</v>
      </c>
      <c r="BE554" s="1" t="s">
        <v>5728</v>
      </c>
      <c r="BF554" s="2" t="str">
        <f>HYPERLINK("http://dx.doi.org/10.1016/j.foodchem.2021.131101","http://dx.doi.org/10.1016/j.foodchem.2021.131101")</f>
        <v>http://dx.doi.org/10.1016/j.foodchem.2021.131101</v>
      </c>
      <c r="BG554" s="1" t="s">
        <v>74</v>
      </c>
      <c r="BH554" s="1" t="s">
        <v>887</v>
      </c>
      <c r="BI554" s="1" t="s">
        <v>74</v>
      </c>
      <c r="BJ554" s="1" t="s">
        <v>74</v>
      </c>
      <c r="BK554" s="1" t="s">
        <v>74</v>
      </c>
      <c r="BL554" s="1" t="s">
        <v>74</v>
      </c>
      <c r="BM554" s="1" t="s">
        <v>74</v>
      </c>
      <c r="BN554" s="1">
        <v>3.4537427E7</v>
      </c>
      <c r="BO554" s="1" t="s">
        <v>74</v>
      </c>
      <c r="BP554" s="1" t="s">
        <v>74</v>
      </c>
      <c r="BQ554" s="1" t="s">
        <v>74</v>
      </c>
      <c r="BR554" s="1" t="s">
        <v>74</v>
      </c>
      <c r="BS554" s="1" t="s">
        <v>5729</v>
      </c>
      <c r="BT554" s="1" t="str">
        <f>HYPERLINK("https%3A%2F%2Fwww.webofscience.com%2Fwos%2Fwoscc%2Ffull-record%2FWOS:000703962900006","View Full Record in Web of Science")</f>
        <v>View Full Record in Web of Science</v>
      </c>
    </row>
    <row r="555" ht="12.75" customHeight="1">
      <c r="A555" s="1" t="s">
        <v>72</v>
      </c>
      <c r="B555" s="1" t="s">
        <v>5730</v>
      </c>
      <c r="C555" s="1" t="s">
        <v>74</v>
      </c>
      <c r="D555" s="1" t="s">
        <v>74</v>
      </c>
      <c r="E555" s="1" t="s">
        <v>74</v>
      </c>
      <c r="F555" s="1" t="s">
        <v>5731</v>
      </c>
      <c r="G555" s="1" t="s">
        <v>74</v>
      </c>
      <c r="H555" s="1" t="s">
        <v>74</v>
      </c>
      <c r="I555" s="1" t="s">
        <v>5732</v>
      </c>
      <c r="J555" s="1" t="s">
        <v>5733</v>
      </c>
      <c r="K555" s="1" t="s">
        <v>74</v>
      </c>
      <c r="L555" s="1" t="s">
        <v>74</v>
      </c>
      <c r="M555" s="1" t="s">
        <v>74</v>
      </c>
      <c r="N555" s="1" t="s">
        <v>74</v>
      </c>
      <c r="O555" s="1" t="s">
        <v>74</v>
      </c>
      <c r="P555" s="1" t="s">
        <v>74</v>
      </c>
      <c r="Q555" s="1" t="s">
        <v>74</v>
      </c>
      <c r="R555" s="1" t="s">
        <v>74</v>
      </c>
      <c r="S555" s="1" t="s">
        <v>74</v>
      </c>
      <c r="T555" s="1" t="s">
        <v>74</v>
      </c>
      <c r="U555" s="1" t="s">
        <v>74</v>
      </c>
      <c r="V555" s="1" t="s">
        <v>5734</v>
      </c>
      <c r="W555" s="1" t="s">
        <v>74</v>
      </c>
      <c r="X555" s="1" t="s">
        <v>74</v>
      </c>
      <c r="Y555" s="1" t="s">
        <v>74</v>
      </c>
      <c r="Z555" s="1" t="s">
        <v>74</v>
      </c>
      <c r="AA555" s="1" t="s">
        <v>5735</v>
      </c>
      <c r="AB555" s="1" t="s">
        <v>5736</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5737</v>
      </c>
      <c r="AP555" s="1" t="s">
        <v>5738</v>
      </c>
      <c r="AQ555" s="1" t="s">
        <v>74</v>
      </c>
      <c r="AR555" s="1" t="s">
        <v>74</v>
      </c>
      <c r="AS555" s="1" t="s">
        <v>74</v>
      </c>
      <c r="AT555" s="1" t="s">
        <v>141</v>
      </c>
      <c r="AU555" s="1">
        <v>2020.0</v>
      </c>
      <c r="AV555" s="1">
        <v>62.0</v>
      </c>
      <c r="AW555" s="1" t="s">
        <v>74</v>
      </c>
      <c r="AX555" s="1" t="s">
        <v>74</v>
      </c>
      <c r="AY555" s="1" t="s">
        <v>74</v>
      </c>
      <c r="AZ555" s="1" t="s">
        <v>74</v>
      </c>
      <c r="BA555" s="1" t="s">
        <v>74</v>
      </c>
      <c r="BB555" s="1" t="s">
        <v>74</v>
      </c>
      <c r="BC555" s="1" t="s">
        <v>74</v>
      </c>
      <c r="BD555" s="1">
        <v>101352.0</v>
      </c>
      <c r="BE555" s="1" t="s">
        <v>5739</v>
      </c>
      <c r="BF555" s="2" t="str">
        <f>HYPERLINK("http://dx.doi.org/10.1016/j.pacfin.2020.101352","http://dx.doi.org/10.1016/j.pacfin.2020.101352")</f>
        <v>http://dx.doi.org/10.1016/j.pacfin.2020.101352</v>
      </c>
      <c r="BG555" s="1" t="s">
        <v>74</v>
      </c>
      <c r="BH555" s="1" t="s">
        <v>74</v>
      </c>
      <c r="BI555" s="1" t="s">
        <v>74</v>
      </c>
      <c r="BJ555" s="1" t="s">
        <v>74</v>
      </c>
      <c r="BK555" s="1" t="s">
        <v>74</v>
      </c>
      <c r="BL555" s="1" t="s">
        <v>74</v>
      </c>
      <c r="BM555" s="1" t="s">
        <v>74</v>
      </c>
      <c r="BN555" s="1" t="s">
        <v>74</v>
      </c>
      <c r="BO555" s="1" t="s">
        <v>74</v>
      </c>
      <c r="BP555" s="1" t="s">
        <v>74</v>
      </c>
      <c r="BQ555" s="1" t="s">
        <v>74</v>
      </c>
      <c r="BR555" s="1" t="s">
        <v>74</v>
      </c>
      <c r="BS555" s="1" t="s">
        <v>5740</v>
      </c>
      <c r="BT555" s="1" t="str">
        <f>HYPERLINK("https%3A%2F%2Fwww.webofscience.com%2Fwos%2Fwoscc%2Ffull-record%2FWOS:000575397400006","View Full Record in Web of Science")</f>
        <v>View Full Record in Web of Science</v>
      </c>
    </row>
    <row r="556" ht="12.75" customHeight="1">
      <c r="A556" s="1" t="s">
        <v>72</v>
      </c>
      <c r="B556" s="1" t="s">
        <v>5741</v>
      </c>
      <c r="C556" s="1" t="s">
        <v>74</v>
      </c>
      <c r="D556" s="1" t="s">
        <v>74</v>
      </c>
      <c r="E556" s="1" t="s">
        <v>74</v>
      </c>
      <c r="F556" s="1" t="s">
        <v>5742</v>
      </c>
      <c r="G556" s="1" t="s">
        <v>74</v>
      </c>
      <c r="H556" s="1" t="s">
        <v>74</v>
      </c>
      <c r="I556" s="1" t="s">
        <v>5743</v>
      </c>
      <c r="J556" s="1" t="s">
        <v>4781</v>
      </c>
      <c r="K556" s="1" t="s">
        <v>74</v>
      </c>
      <c r="L556" s="1" t="s">
        <v>74</v>
      </c>
      <c r="M556" s="1" t="s">
        <v>74</v>
      </c>
      <c r="N556" s="1" t="s">
        <v>74</v>
      </c>
      <c r="O556" s="1" t="s">
        <v>74</v>
      </c>
      <c r="P556" s="1" t="s">
        <v>74</v>
      </c>
      <c r="Q556" s="1" t="s">
        <v>74</v>
      </c>
      <c r="R556" s="1" t="s">
        <v>74</v>
      </c>
      <c r="S556" s="1" t="s">
        <v>74</v>
      </c>
      <c r="T556" s="1" t="s">
        <v>74</v>
      </c>
      <c r="U556" s="1" t="s">
        <v>74</v>
      </c>
      <c r="V556" s="1" t="s">
        <v>5744</v>
      </c>
      <c r="W556" s="1" t="s">
        <v>74</v>
      </c>
      <c r="X556" s="1" t="s">
        <v>74</v>
      </c>
      <c r="Y556" s="1" t="s">
        <v>74</v>
      </c>
      <c r="Z556" s="1" t="s">
        <v>74</v>
      </c>
      <c r="AA556" s="1" t="s">
        <v>5745</v>
      </c>
      <c r="AB556" s="1" t="s">
        <v>5746</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4785</v>
      </c>
      <c r="AP556" s="1" t="s">
        <v>74</v>
      </c>
      <c r="AQ556" s="1" t="s">
        <v>74</v>
      </c>
      <c r="AR556" s="1" t="s">
        <v>74</v>
      </c>
      <c r="AS556" s="1" t="s">
        <v>74</v>
      </c>
      <c r="AT556" s="1" t="s">
        <v>5747</v>
      </c>
      <c r="AU556" s="1">
        <v>2007.0</v>
      </c>
      <c r="AV556" s="1">
        <v>9.0</v>
      </c>
      <c r="AW556" s="1">
        <v>26.0</v>
      </c>
      <c r="AX556" s="1" t="s">
        <v>74</v>
      </c>
      <c r="AY556" s="1" t="s">
        <v>74</v>
      </c>
      <c r="AZ556" s="1" t="s">
        <v>74</v>
      </c>
      <c r="BA556" s="1" t="s">
        <v>74</v>
      </c>
      <c r="BB556" s="1">
        <v>3383.0</v>
      </c>
      <c r="BC556" s="1">
        <v>3396.0</v>
      </c>
      <c r="BD556" s="1" t="s">
        <v>74</v>
      </c>
      <c r="BE556" s="1" t="s">
        <v>5748</v>
      </c>
      <c r="BF556" s="2" t="str">
        <f>HYPERLINK("http://dx.doi.org/10.1039/b618767f","http://dx.doi.org/10.1039/b618767f")</f>
        <v>http://dx.doi.org/10.1039/b618767f</v>
      </c>
      <c r="BG556" s="1" t="s">
        <v>74</v>
      </c>
      <c r="BH556" s="1" t="s">
        <v>74</v>
      </c>
      <c r="BI556" s="1" t="s">
        <v>74</v>
      </c>
      <c r="BJ556" s="1" t="s">
        <v>74</v>
      </c>
      <c r="BK556" s="1" t="s">
        <v>74</v>
      </c>
      <c r="BL556" s="1" t="s">
        <v>74</v>
      </c>
      <c r="BM556" s="1" t="s">
        <v>74</v>
      </c>
      <c r="BN556" s="1">
        <v>1.7664962E7</v>
      </c>
      <c r="BO556" s="1" t="s">
        <v>74</v>
      </c>
      <c r="BP556" s="1" t="s">
        <v>74</v>
      </c>
      <c r="BQ556" s="1" t="s">
        <v>74</v>
      </c>
      <c r="BR556" s="1" t="s">
        <v>74</v>
      </c>
      <c r="BS556" s="1" t="s">
        <v>5749</v>
      </c>
      <c r="BT556" s="1" t="str">
        <f>HYPERLINK("https%3A%2F%2Fwww.webofscience.com%2Fwos%2Fwoscc%2Ffull-record%2FWOS:000248225300003","View Full Record in Web of Science")</f>
        <v>View Full Record in Web of Science</v>
      </c>
    </row>
    <row r="557" ht="12.75" customHeight="1">
      <c r="A557" s="1" t="s">
        <v>72</v>
      </c>
      <c r="B557" s="1" t="s">
        <v>5750</v>
      </c>
      <c r="C557" s="1" t="s">
        <v>74</v>
      </c>
      <c r="D557" s="1" t="s">
        <v>74</v>
      </c>
      <c r="E557" s="1" t="s">
        <v>74</v>
      </c>
      <c r="F557" s="1" t="s">
        <v>5751</v>
      </c>
      <c r="G557" s="1" t="s">
        <v>74</v>
      </c>
      <c r="H557" s="1" t="s">
        <v>74</v>
      </c>
      <c r="I557" s="1" t="s">
        <v>5752</v>
      </c>
      <c r="J557" s="1" t="s">
        <v>4863</v>
      </c>
      <c r="K557" s="1" t="s">
        <v>74</v>
      </c>
      <c r="L557" s="1" t="s">
        <v>74</v>
      </c>
      <c r="M557" s="1" t="s">
        <v>74</v>
      </c>
      <c r="N557" s="1" t="s">
        <v>74</v>
      </c>
      <c r="O557" s="1" t="s">
        <v>74</v>
      </c>
      <c r="P557" s="1" t="s">
        <v>74</v>
      </c>
      <c r="Q557" s="1" t="s">
        <v>74</v>
      </c>
      <c r="R557" s="1" t="s">
        <v>74</v>
      </c>
      <c r="S557" s="1" t="s">
        <v>74</v>
      </c>
      <c r="T557" s="1" t="s">
        <v>74</v>
      </c>
      <c r="U557" s="1" t="s">
        <v>74</v>
      </c>
      <c r="V557" s="1" t="s">
        <v>5753</v>
      </c>
      <c r="W557" s="1" t="s">
        <v>74</v>
      </c>
      <c r="X557" s="1" t="s">
        <v>74</v>
      </c>
      <c r="Y557" s="1" t="s">
        <v>74</v>
      </c>
      <c r="Z557" s="1" t="s">
        <v>74</v>
      </c>
      <c r="AA557" s="1" t="s">
        <v>5754</v>
      </c>
      <c r="AB557" s="1" t="s">
        <v>5755</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4867</v>
      </c>
      <c r="AP557" s="1" t="s">
        <v>4868</v>
      </c>
      <c r="AQ557" s="1" t="s">
        <v>74</v>
      </c>
      <c r="AR557" s="1" t="s">
        <v>74</v>
      </c>
      <c r="AS557" s="1" t="s">
        <v>74</v>
      </c>
      <c r="AT557" s="1" t="s">
        <v>392</v>
      </c>
      <c r="AU557" s="1">
        <v>2021.0</v>
      </c>
      <c r="AV557" s="1">
        <v>84.0</v>
      </c>
      <c r="AW557" s="1" t="s">
        <v>74</v>
      </c>
      <c r="AX557" s="1" t="s">
        <v>74</v>
      </c>
      <c r="AY557" s="1" t="s">
        <v>74</v>
      </c>
      <c r="AZ557" s="1" t="s">
        <v>74</v>
      </c>
      <c r="BA557" s="1" t="s">
        <v>74</v>
      </c>
      <c r="BB557" s="1" t="s">
        <v>74</v>
      </c>
      <c r="BC557" s="1" t="s">
        <v>74</v>
      </c>
      <c r="BD557" s="1">
        <v>153462.0</v>
      </c>
      <c r="BE557" s="1" t="s">
        <v>5756</v>
      </c>
      <c r="BF557" s="2" t="str">
        <f>HYPERLINK("http://dx.doi.org/10.1016/j.phymed.2021.153462","http://dx.doi.org/10.1016/j.phymed.2021.153462")</f>
        <v>http://dx.doi.org/10.1016/j.phymed.2021.153462</v>
      </c>
      <c r="BG557" s="1" t="s">
        <v>74</v>
      </c>
      <c r="BH557" s="1" t="s">
        <v>1867</v>
      </c>
      <c r="BI557" s="1" t="s">
        <v>74</v>
      </c>
      <c r="BJ557" s="1" t="s">
        <v>74</v>
      </c>
      <c r="BK557" s="1" t="s">
        <v>74</v>
      </c>
      <c r="BL557" s="1" t="s">
        <v>74</v>
      </c>
      <c r="BM557" s="1" t="s">
        <v>74</v>
      </c>
      <c r="BN557" s="1">
        <v>3.36026E7</v>
      </c>
      <c r="BO557" s="1" t="s">
        <v>74</v>
      </c>
      <c r="BP557" s="1" t="s">
        <v>74</v>
      </c>
      <c r="BQ557" s="1" t="s">
        <v>74</v>
      </c>
      <c r="BR557" s="1" t="s">
        <v>74</v>
      </c>
      <c r="BS557" s="1" t="s">
        <v>5757</v>
      </c>
      <c r="BT557" s="1" t="str">
        <f>HYPERLINK("https%3A%2F%2Fwww.webofscience.com%2Fwos%2Fwoscc%2Ffull-record%2FWOS:000627864600003","View Full Record in Web of Science")</f>
        <v>View Full Record in Web of Science</v>
      </c>
    </row>
    <row r="558" ht="12.75" customHeight="1">
      <c r="A558" s="1" t="s">
        <v>72</v>
      </c>
      <c r="B558" s="1" t="s">
        <v>5758</v>
      </c>
      <c r="C558" s="1" t="s">
        <v>74</v>
      </c>
      <c r="D558" s="1" t="s">
        <v>74</v>
      </c>
      <c r="E558" s="1" t="s">
        <v>74</v>
      </c>
      <c r="F558" s="1" t="s">
        <v>5759</v>
      </c>
      <c r="G558" s="1" t="s">
        <v>74</v>
      </c>
      <c r="H558" s="1" t="s">
        <v>74</v>
      </c>
      <c r="I558" s="1" t="s">
        <v>5760</v>
      </c>
      <c r="J558" s="1" t="s">
        <v>5761</v>
      </c>
      <c r="K558" s="1" t="s">
        <v>74</v>
      </c>
      <c r="L558" s="1" t="s">
        <v>74</v>
      </c>
      <c r="M558" s="1" t="s">
        <v>74</v>
      </c>
      <c r="N558" s="1" t="s">
        <v>74</v>
      </c>
      <c r="O558" s="1" t="s">
        <v>74</v>
      </c>
      <c r="P558" s="1" t="s">
        <v>74</v>
      </c>
      <c r="Q558" s="1" t="s">
        <v>74</v>
      </c>
      <c r="R558" s="1" t="s">
        <v>74</v>
      </c>
      <c r="S558" s="1" t="s">
        <v>74</v>
      </c>
      <c r="T558" s="1" t="s">
        <v>74</v>
      </c>
      <c r="U558" s="1" t="s">
        <v>74</v>
      </c>
      <c r="V558" s="1" t="s">
        <v>5762</v>
      </c>
      <c r="W558" s="1" t="s">
        <v>74</v>
      </c>
      <c r="X558" s="1" t="s">
        <v>74</v>
      </c>
      <c r="Y558" s="1" t="s">
        <v>74</v>
      </c>
      <c r="Z558" s="1" t="s">
        <v>74</v>
      </c>
      <c r="AA558" s="1" t="s">
        <v>5763</v>
      </c>
      <c r="AB558" s="1" t="s">
        <v>5764</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5765</v>
      </c>
      <c r="AP558" s="1" t="s">
        <v>5766</v>
      </c>
      <c r="AQ558" s="1" t="s">
        <v>74</v>
      </c>
      <c r="AR558" s="1" t="s">
        <v>74</v>
      </c>
      <c r="AS558" s="1" t="s">
        <v>74</v>
      </c>
      <c r="AT558" s="1" t="s">
        <v>787</v>
      </c>
      <c r="AU558" s="1">
        <v>2020.0</v>
      </c>
      <c r="AV558" s="1">
        <v>101.0</v>
      </c>
      <c r="AW558" s="1">
        <v>1.0</v>
      </c>
      <c r="AX558" s="1" t="s">
        <v>74</v>
      </c>
      <c r="AY558" s="1" t="s">
        <v>74</v>
      </c>
      <c r="AZ558" s="1" t="s">
        <v>74</v>
      </c>
      <c r="BA558" s="1" t="s">
        <v>74</v>
      </c>
      <c r="BB558" s="1" t="s">
        <v>74</v>
      </c>
      <c r="BC558" s="1" t="s">
        <v>74</v>
      </c>
      <c r="BD558" s="1">
        <v>12111.0</v>
      </c>
      <c r="BE558" s="1" t="s">
        <v>5767</v>
      </c>
      <c r="BF558" s="2" t="str">
        <f>HYPERLINK("http://dx.doi.org/10.1103/PhysRevA.101.012111","http://dx.doi.org/10.1103/PhysRevA.101.012111")</f>
        <v>http://dx.doi.org/10.1103/PhysRevA.101.012111</v>
      </c>
      <c r="BG558" s="1" t="s">
        <v>74</v>
      </c>
      <c r="BH558" s="1" t="s">
        <v>74</v>
      </c>
      <c r="BI558" s="1" t="s">
        <v>74</v>
      </c>
      <c r="BJ558" s="1" t="s">
        <v>74</v>
      </c>
      <c r="BK558" s="1" t="s">
        <v>74</v>
      </c>
      <c r="BL558" s="1" t="s">
        <v>74</v>
      </c>
      <c r="BM558" s="1" t="s">
        <v>74</v>
      </c>
      <c r="BN558" s="1" t="s">
        <v>74</v>
      </c>
      <c r="BO558" s="1" t="s">
        <v>74</v>
      </c>
      <c r="BP558" s="1" t="s">
        <v>74</v>
      </c>
      <c r="BQ558" s="1" t="s">
        <v>74</v>
      </c>
      <c r="BR558" s="1" t="s">
        <v>74</v>
      </c>
      <c r="BS558" s="1" t="s">
        <v>5768</v>
      </c>
      <c r="BT558" s="1" t="str">
        <f>HYPERLINK("https%3A%2F%2Fwww.webofscience.com%2Fwos%2Fwoscc%2Ffull-record%2FWOS:000507493100001","View Full Record in Web of Science")</f>
        <v>View Full Record in Web of Science</v>
      </c>
    </row>
    <row r="559" ht="12.75" customHeight="1">
      <c r="A559" s="1" t="s">
        <v>462</v>
      </c>
      <c r="B559" s="1" t="s">
        <v>4995</v>
      </c>
      <c r="C559" s="1" t="s">
        <v>74</v>
      </c>
      <c r="D559" s="1" t="s">
        <v>4996</v>
      </c>
      <c r="E559" s="1" t="s">
        <v>74</v>
      </c>
      <c r="F559" s="1" t="s">
        <v>4997</v>
      </c>
      <c r="G559" s="1" t="s">
        <v>74</v>
      </c>
      <c r="H559" s="1" t="s">
        <v>74</v>
      </c>
      <c r="I559" s="1" t="s">
        <v>5769</v>
      </c>
      <c r="J559" s="1" t="s">
        <v>4999</v>
      </c>
      <c r="K559" s="1" t="s">
        <v>944</v>
      </c>
      <c r="L559" s="1" t="s">
        <v>74</v>
      </c>
      <c r="M559" s="1" t="s">
        <v>74</v>
      </c>
      <c r="N559" s="1" t="s">
        <v>74</v>
      </c>
      <c r="O559" s="1" t="s">
        <v>5000</v>
      </c>
      <c r="P559" s="1" t="s">
        <v>5001</v>
      </c>
      <c r="Q559" s="1" t="s">
        <v>470</v>
      </c>
      <c r="R559" s="1" t="s">
        <v>5002</v>
      </c>
      <c r="S559" s="1" t="s">
        <v>74</v>
      </c>
      <c r="T559" s="1" t="s">
        <v>74</v>
      </c>
      <c r="U559" s="1" t="s">
        <v>74</v>
      </c>
      <c r="V559" s="1" t="s">
        <v>5770</v>
      </c>
      <c r="W559" s="1" t="s">
        <v>74</v>
      </c>
      <c r="X559" s="1" t="s">
        <v>74</v>
      </c>
      <c r="Y559" s="1" t="s">
        <v>74</v>
      </c>
      <c r="Z559" s="1" t="s">
        <v>74</v>
      </c>
      <c r="AA559" s="1" t="s">
        <v>5771</v>
      </c>
      <c r="AB559" s="1" t="s">
        <v>5772</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953</v>
      </c>
      <c r="AP559" s="1" t="s">
        <v>954</v>
      </c>
      <c r="AQ559" s="1" t="s">
        <v>5006</v>
      </c>
      <c r="AR559" s="1" t="s">
        <v>74</v>
      </c>
      <c r="AS559" s="1" t="s">
        <v>74</v>
      </c>
      <c r="AT559" s="1" t="s">
        <v>74</v>
      </c>
      <c r="AU559" s="1">
        <v>2022.0</v>
      </c>
      <c r="AV559" s="1">
        <v>13489.0</v>
      </c>
      <c r="AW559" s="1" t="s">
        <v>74</v>
      </c>
      <c r="AX559" s="1" t="s">
        <v>74</v>
      </c>
      <c r="AY559" s="1" t="s">
        <v>74</v>
      </c>
      <c r="AZ559" s="1" t="s">
        <v>74</v>
      </c>
      <c r="BA559" s="1" t="s">
        <v>74</v>
      </c>
      <c r="BB559" s="1">
        <v>678.0</v>
      </c>
      <c r="BC559" s="1">
        <v>696.0</v>
      </c>
      <c r="BD559" s="1" t="s">
        <v>74</v>
      </c>
      <c r="BE559" s="1" t="s">
        <v>5773</v>
      </c>
      <c r="BF559" s="2" t="str">
        <f>HYPERLINK("http://dx.doi.org/10.1007/978-3-031-19433-7_39","http://dx.doi.org/10.1007/978-3-031-19433-7_39")</f>
        <v>http://dx.doi.org/10.1007/978-3-031-19433-7_39</v>
      </c>
      <c r="BG559" s="1" t="s">
        <v>74</v>
      </c>
      <c r="BH559" s="1" t="s">
        <v>74</v>
      </c>
      <c r="BI559" s="1" t="s">
        <v>74</v>
      </c>
      <c r="BJ559" s="1" t="s">
        <v>74</v>
      </c>
      <c r="BK559" s="1" t="s">
        <v>74</v>
      </c>
      <c r="BL559" s="1" t="s">
        <v>74</v>
      </c>
      <c r="BM559" s="1" t="s">
        <v>74</v>
      </c>
      <c r="BN559" s="1" t="s">
        <v>74</v>
      </c>
      <c r="BO559" s="1" t="s">
        <v>74</v>
      </c>
      <c r="BP559" s="1" t="s">
        <v>74</v>
      </c>
      <c r="BQ559" s="1" t="s">
        <v>74</v>
      </c>
      <c r="BR559" s="1" t="s">
        <v>74</v>
      </c>
      <c r="BS559" s="1" t="s">
        <v>5774</v>
      </c>
      <c r="BT559" s="1" t="str">
        <f>HYPERLINK("https%3A%2F%2Fwww.webofscience.com%2Fwos%2Fwoscc%2Ffull-record%2FWOS:000886782800039","View Full Record in Web of Science")</f>
        <v>View Full Record in Web of Science</v>
      </c>
    </row>
    <row r="560" ht="12.75" customHeight="1">
      <c r="A560" s="1" t="s">
        <v>72</v>
      </c>
      <c r="B560" s="1" t="s">
        <v>5775</v>
      </c>
      <c r="C560" s="1" t="s">
        <v>74</v>
      </c>
      <c r="D560" s="1" t="s">
        <v>74</v>
      </c>
      <c r="E560" s="1" t="s">
        <v>74</v>
      </c>
      <c r="F560" s="1" t="s">
        <v>5776</v>
      </c>
      <c r="G560" s="1" t="s">
        <v>74</v>
      </c>
      <c r="H560" s="1" t="s">
        <v>74</v>
      </c>
      <c r="I560" s="1" t="s">
        <v>5777</v>
      </c>
      <c r="J560" s="1" t="s">
        <v>5778</v>
      </c>
      <c r="K560" s="1" t="s">
        <v>74</v>
      </c>
      <c r="L560" s="1" t="s">
        <v>74</v>
      </c>
      <c r="M560" s="1" t="s">
        <v>74</v>
      </c>
      <c r="N560" s="1" t="s">
        <v>74</v>
      </c>
      <c r="O560" s="1" t="s">
        <v>74</v>
      </c>
      <c r="P560" s="1" t="s">
        <v>74</v>
      </c>
      <c r="Q560" s="1" t="s">
        <v>74</v>
      </c>
      <c r="R560" s="1" t="s">
        <v>74</v>
      </c>
      <c r="S560" s="1" t="s">
        <v>74</v>
      </c>
      <c r="T560" s="1" t="s">
        <v>74</v>
      </c>
      <c r="U560" s="1" t="s">
        <v>74</v>
      </c>
      <c r="V560" s="1" t="s">
        <v>5779</v>
      </c>
      <c r="W560" s="1" t="s">
        <v>74</v>
      </c>
      <c r="X560" s="1" t="s">
        <v>74</v>
      </c>
      <c r="Y560" s="1" t="s">
        <v>74</v>
      </c>
      <c r="Z560" s="1" t="s">
        <v>74</v>
      </c>
      <c r="AA560" s="1" t="s">
        <v>5780</v>
      </c>
      <c r="AB560" s="1" t="s">
        <v>5781</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5782</v>
      </c>
      <c r="AP560" s="1" t="s">
        <v>5783</v>
      </c>
      <c r="AQ560" s="1" t="s">
        <v>74</v>
      </c>
      <c r="AR560" s="1" t="s">
        <v>74</v>
      </c>
      <c r="AS560" s="1" t="s">
        <v>74</v>
      </c>
      <c r="AT560" s="1" t="s">
        <v>141</v>
      </c>
      <c r="AU560" s="1">
        <v>2020.0</v>
      </c>
      <c r="AV560" s="1">
        <v>89.0</v>
      </c>
      <c r="AW560" s="1" t="s">
        <v>74</v>
      </c>
      <c r="AX560" s="1" t="s">
        <v>74</v>
      </c>
      <c r="AY560" s="1" t="s">
        <v>74</v>
      </c>
      <c r="AZ560" s="1" t="s">
        <v>74</v>
      </c>
      <c r="BA560" s="1" t="s">
        <v>74</v>
      </c>
      <c r="BB560" s="1" t="s">
        <v>74</v>
      </c>
      <c r="BC560" s="1" t="s">
        <v>74</v>
      </c>
      <c r="BD560" s="1">
        <v>106710.0</v>
      </c>
      <c r="BE560" s="1" t="s">
        <v>5784</v>
      </c>
      <c r="BF560" s="2" t="str">
        <f>HYPERLINK("http://dx.doi.org/10.1016/j.polymertesting.2020.106710","http://dx.doi.org/10.1016/j.polymertesting.2020.106710")</f>
        <v>http://dx.doi.org/10.1016/j.polymertesting.2020.106710</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5785</v>
      </c>
      <c r="BT560" s="1" t="str">
        <f>HYPERLINK("https%3A%2F%2Fwww.webofscience.com%2Fwos%2Fwoscc%2Ffull-record%2FWOS:000561350500053","View Full Record in Web of Science")</f>
        <v>View Full Record in Web of Science</v>
      </c>
    </row>
    <row r="561" ht="12.75" customHeight="1">
      <c r="A561" s="1" t="s">
        <v>72</v>
      </c>
      <c r="B561" s="1" t="s">
        <v>5786</v>
      </c>
      <c r="C561" s="1" t="s">
        <v>74</v>
      </c>
      <c r="D561" s="1" t="s">
        <v>74</v>
      </c>
      <c r="E561" s="1" t="s">
        <v>74</v>
      </c>
      <c r="F561" s="1" t="s">
        <v>5787</v>
      </c>
      <c r="G561" s="1" t="s">
        <v>74</v>
      </c>
      <c r="H561" s="1" t="s">
        <v>74</v>
      </c>
      <c r="I561" s="1" t="s">
        <v>5788</v>
      </c>
      <c r="J561" s="1" t="s">
        <v>352</v>
      </c>
      <c r="K561" s="1" t="s">
        <v>74</v>
      </c>
      <c r="L561" s="1" t="s">
        <v>74</v>
      </c>
      <c r="M561" s="1" t="s">
        <v>74</v>
      </c>
      <c r="N561" s="1" t="s">
        <v>74</v>
      </c>
      <c r="O561" s="1" t="s">
        <v>74</v>
      </c>
      <c r="P561" s="1" t="s">
        <v>74</v>
      </c>
      <c r="Q561" s="1" t="s">
        <v>74</v>
      </c>
      <c r="R561" s="1" t="s">
        <v>74</v>
      </c>
      <c r="S561" s="1" t="s">
        <v>74</v>
      </c>
      <c r="T561" s="1" t="s">
        <v>74</v>
      </c>
      <c r="U561" s="1" t="s">
        <v>74</v>
      </c>
      <c r="V561" s="1" t="s">
        <v>5789</v>
      </c>
      <c r="W561" s="1" t="s">
        <v>74</v>
      </c>
      <c r="X561" s="1" t="s">
        <v>74</v>
      </c>
      <c r="Y561" s="1" t="s">
        <v>74</v>
      </c>
      <c r="Z561" s="1" t="s">
        <v>74</v>
      </c>
      <c r="AA561" s="1" t="s">
        <v>5790</v>
      </c>
      <c r="AB561" s="1" t="s">
        <v>5791</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356</v>
      </c>
      <c r="AP561" s="1" t="s">
        <v>357</v>
      </c>
      <c r="AQ561" s="1" t="s">
        <v>74</v>
      </c>
      <c r="AR561" s="1" t="s">
        <v>74</v>
      </c>
      <c r="AS561" s="1" t="s">
        <v>74</v>
      </c>
      <c r="AT561" s="1" t="s">
        <v>3402</v>
      </c>
      <c r="AU561" s="1">
        <v>2025.0</v>
      </c>
      <c r="AV561" s="1">
        <v>101.0</v>
      </c>
      <c r="AW561" s="1" t="s">
        <v>74</v>
      </c>
      <c r="AX561" s="1" t="s">
        <v>74</v>
      </c>
      <c r="AY561" s="1" t="s">
        <v>74</v>
      </c>
      <c r="AZ561" s="1" t="s">
        <v>74</v>
      </c>
      <c r="BA561" s="1" t="s">
        <v>74</v>
      </c>
      <c r="BB561" s="1">
        <v>1085.0</v>
      </c>
      <c r="BC561" s="1">
        <v>1092.0</v>
      </c>
      <c r="BD561" s="1" t="s">
        <v>74</v>
      </c>
      <c r="BE561" s="1" t="s">
        <v>5792</v>
      </c>
      <c r="BF561" s="2" t="str">
        <f>HYPERLINK("http://dx.doi.org/10.1016/j.ijhydene.2024.12.289","http://dx.doi.org/10.1016/j.ijhydene.2024.12.289")</f>
        <v>http://dx.doi.org/10.1016/j.ijhydene.2024.12.289</v>
      </c>
      <c r="BG561" s="1" t="s">
        <v>74</v>
      </c>
      <c r="BH561" s="1" t="s">
        <v>2726</v>
      </c>
      <c r="BI561" s="1" t="s">
        <v>74</v>
      </c>
      <c r="BJ561" s="1" t="s">
        <v>74</v>
      </c>
      <c r="BK561" s="1" t="s">
        <v>74</v>
      </c>
      <c r="BL561" s="1" t="s">
        <v>74</v>
      </c>
      <c r="BM561" s="1" t="s">
        <v>74</v>
      </c>
      <c r="BN561" s="1" t="s">
        <v>74</v>
      </c>
      <c r="BO561" s="1" t="s">
        <v>74</v>
      </c>
      <c r="BP561" s="1" t="s">
        <v>74</v>
      </c>
      <c r="BQ561" s="1" t="s">
        <v>74</v>
      </c>
      <c r="BR561" s="1" t="s">
        <v>74</v>
      </c>
      <c r="BS561" s="1" t="s">
        <v>5793</v>
      </c>
      <c r="BT561" s="1" t="str">
        <f>HYPERLINK("https%3A%2F%2Fwww.webofscience.com%2Fwos%2Fwoscc%2Ffull-record%2FWOS:001407826000001","View Full Record in Web of Science")</f>
        <v>View Full Record in Web of Science</v>
      </c>
    </row>
    <row r="562" ht="12.75" customHeight="1">
      <c r="A562" s="1" t="s">
        <v>72</v>
      </c>
      <c r="B562" s="1" t="s">
        <v>5794</v>
      </c>
      <c r="C562" s="1" t="s">
        <v>74</v>
      </c>
      <c r="D562" s="1" t="s">
        <v>74</v>
      </c>
      <c r="E562" s="1" t="s">
        <v>74</v>
      </c>
      <c r="F562" s="1" t="s">
        <v>5795</v>
      </c>
      <c r="G562" s="1" t="s">
        <v>74</v>
      </c>
      <c r="H562" s="1" t="s">
        <v>74</v>
      </c>
      <c r="I562" s="1" t="s">
        <v>5796</v>
      </c>
      <c r="J562" s="1" t="s">
        <v>5797</v>
      </c>
      <c r="K562" s="1" t="s">
        <v>74</v>
      </c>
      <c r="L562" s="1" t="s">
        <v>74</v>
      </c>
      <c r="M562" s="1" t="s">
        <v>74</v>
      </c>
      <c r="N562" s="1" t="s">
        <v>74</v>
      </c>
      <c r="O562" s="1" t="s">
        <v>74</v>
      </c>
      <c r="P562" s="1" t="s">
        <v>74</v>
      </c>
      <c r="Q562" s="1" t="s">
        <v>74</v>
      </c>
      <c r="R562" s="1" t="s">
        <v>74</v>
      </c>
      <c r="S562" s="1" t="s">
        <v>74</v>
      </c>
      <c r="T562" s="1" t="s">
        <v>74</v>
      </c>
      <c r="U562" s="1" t="s">
        <v>74</v>
      </c>
      <c r="V562" s="1" t="s">
        <v>5798</v>
      </c>
      <c r="W562" s="1" t="s">
        <v>74</v>
      </c>
      <c r="X562" s="1" t="s">
        <v>74</v>
      </c>
      <c r="Y562" s="1" t="s">
        <v>74</v>
      </c>
      <c r="Z562" s="1" t="s">
        <v>74</v>
      </c>
      <c r="AA562" s="1" t="s">
        <v>5799</v>
      </c>
      <c r="AB562" s="1" t="s">
        <v>5800</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5801</v>
      </c>
      <c r="AP562" s="1" t="s">
        <v>5802</v>
      </c>
      <c r="AQ562" s="1" t="s">
        <v>74</v>
      </c>
      <c r="AR562" s="1" t="s">
        <v>74</v>
      </c>
      <c r="AS562" s="1" t="s">
        <v>74</v>
      </c>
      <c r="AT562" s="1" t="s">
        <v>141</v>
      </c>
      <c r="AU562" s="1">
        <v>2022.0</v>
      </c>
      <c r="AV562" s="1">
        <v>18.0</v>
      </c>
      <c r="AW562" s="1">
        <v>9.0</v>
      </c>
      <c r="AX562" s="1" t="s">
        <v>74</v>
      </c>
      <c r="AY562" s="1" t="s">
        <v>74</v>
      </c>
      <c r="AZ562" s="1" t="s">
        <v>74</v>
      </c>
      <c r="BA562" s="1" t="s">
        <v>74</v>
      </c>
      <c r="BB562" s="1" t="s">
        <v>74</v>
      </c>
      <c r="BC562" s="1" t="s">
        <v>74</v>
      </c>
      <c r="BD562" s="1" t="s">
        <v>5803</v>
      </c>
      <c r="BE562" s="1" t="s">
        <v>5804</v>
      </c>
      <c r="BF562" s="2" t="str">
        <f>HYPERLINK("http://dx.doi.org/10.1371/journal.pcbi.1010410","http://dx.doi.org/10.1371/journal.pcbi.1010410")</f>
        <v>http://dx.doi.org/10.1371/journal.pcbi.1010410</v>
      </c>
      <c r="BG562" s="1" t="s">
        <v>74</v>
      </c>
      <c r="BH562" s="1" t="s">
        <v>74</v>
      </c>
      <c r="BI562" s="1" t="s">
        <v>74</v>
      </c>
      <c r="BJ562" s="1" t="s">
        <v>74</v>
      </c>
      <c r="BK562" s="1" t="s">
        <v>74</v>
      </c>
      <c r="BL562" s="1" t="s">
        <v>74</v>
      </c>
      <c r="BM562" s="1" t="s">
        <v>74</v>
      </c>
      <c r="BN562" s="1">
        <v>3.6084131E7</v>
      </c>
      <c r="BO562" s="1" t="s">
        <v>74</v>
      </c>
      <c r="BP562" s="1" t="s">
        <v>74</v>
      </c>
      <c r="BQ562" s="1" t="s">
        <v>74</v>
      </c>
      <c r="BR562" s="1" t="s">
        <v>74</v>
      </c>
      <c r="BS562" s="1" t="s">
        <v>5805</v>
      </c>
      <c r="BT562" s="1" t="str">
        <f>HYPERLINK("https%3A%2F%2Fwww.webofscience.com%2Fwos%2Fwoscc%2Ffull-record%2FWOS:000892043500003","View Full Record in Web of Science")</f>
        <v>View Full Record in Web of Science</v>
      </c>
    </row>
    <row r="563" ht="12.75" customHeight="1">
      <c r="A563" s="1" t="s">
        <v>72</v>
      </c>
      <c r="B563" s="1" t="s">
        <v>5806</v>
      </c>
      <c r="C563" s="1" t="s">
        <v>74</v>
      </c>
      <c r="D563" s="1" t="s">
        <v>74</v>
      </c>
      <c r="E563" s="1" t="s">
        <v>74</v>
      </c>
      <c r="F563" s="1" t="s">
        <v>5807</v>
      </c>
      <c r="G563" s="1" t="s">
        <v>74</v>
      </c>
      <c r="H563" s="1" t="s">
        <v>74</v>
      </c>
      <c r="I563" s="1" t="s">
        <v>5808</v>
      </c>
      <c r="J563" s="1" t="s">
        <v>480</v>
      </c>
      <c r="K563" s="1" t="s">
        <v>74</v>
      </c>
      <c r="L563" s="1" t="s">
        <v>74</v>
      </c>
      <c r="M563" s="1" t="s">
        <v>74</v>
      </c>
      <c r="N563" s="1" t="s">
        <v>74</v>
      </c>
      <c r="O563" s="1" t="s">
        <v>74</v>
      </c>
      <c r="P563" s="1" t="s">
        <v>74</v>
      </c>
      <c r="Q563" s="1" t="s">
        <v>74</v>
      </c>
      <c r="R563" s="1" t="s">
        <v>74</v>
      </c>
      <c r="S563" s="1" t="s">
        <v>74</v>
      </c>
      <c r="T563" s="1" t="s">
        <v>74</v>
      </c>
      <c r="U563" s="1" t="s">
        <v>74</v>
      </c>
      <c r="V563" s="1" t="s">
        <v>5809</v>
      </c>
      <c r="W563" s="1" t="s">
        <v>74</v>
      </c>
      <c r="X563" s="1" t="s">
        <v>74</v>
      </c>
      <c r="Y563" s="1" t="s">
        <v>74</v>
      </c>
      <c r="Z563" s="1" t="s">
        <v>74</v>
      </c>
      <c r="AA563" s="1" t="s">
        <v>5810</v>
      </c>
      <c r="AB563" s="1" t="s">
        <v>5811</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484</v>
      </c>
      <c r="AP563" s="1" t="s">
        <v>74</v>
      </c>
      <c r="AQ563" s="1" t="s">
        <v>74</v>
      </c>
      <c r="AR563" s="1" t="s">
        <v>74</v>
      </c>
      <c r="AS563" s="1" t="s">
        <v>74</v>
      </c>
      <c r="AT563" s="1" t="s">
        <v>723</v>
      </c>
      <c r="AU563" s="1">
        <v>2021.0</v>
      </c>
      <c r="AV563" s="1">
        <v>11.0</v>
      </c>
      <c r="AW563" s="1">
        <v>1.0</v>
      </c>
      <c r="AX563" s="1" t="s">
        <v>74</v>
      </c>
      <c r="AY563" s="1" t="s">
        <v>74</v>
      </c>
      <c r="AZ563" s="1" t="s">
        <v>74</v>
      </c>
      <c r="BA563" s="1" t="s">
        <v>74</v>
      </c>
      <c r="BB563" s="1" t="s">
        <v>74</v>
      </c>
      <c r="BC563" s="1" t="s">
        <v>74</v>
      </c>
      <c r="BD563" s="1">
        <v>14530.0</v>
      </c>
      <c r="BE563" s="1" t="s">
        <v>5812</v>
      </c>
      <c r="BF563" s="2" t="str">
        <f>HYPERLINK("http://dx.doi.org/10.1038/s41598-021-93895-1","http://dx.doi.org/10.1038/s41598-021-93895-1")</f>
        <v>http://dx.doi.org/10.1038/s41598-021-93895-1</v>
      </c>
      <c r="BG563" s="1" t="s">
        <v>74</v>
      </c>
      <c r="BH563" s="1" t="s">
        <v>74</v>
      </c>
      <c r="BI563" s="1" t="s">
        <v>74</v>
      </c>
      <c r="BJ563" s="1" t="s">
        <v>74</v>
      </c>
      <c r="BK563" s="1" t="s">
        <v>74</v>
      </c>
      <c r="BL563" s="1" t="s">
        <v>74</v>
      </c>
      <c r="BM563" s="1" t="s">
        <v>74</v>
      </c>
      <c r="BN563" s="1">
        <v>3.4267297E7</v>
      </c>
      <c r="BO563" s="1" t="s">
        <v>74</v>
      </c>
      <c r="BP563" s="1" t="s">
        <v>74</v>
      </c>
      <c r="BQ563" s="1" t="s">
        <v>74</v>
      </c>
      <c r="BR563" s="1" t="s">
        <v>74</v>
      </c>
      <c r="BS563" s="1" t="s">
        <v>5813</v>
      </c>
      <c r="BT563" s="1" t="str">
        <f>HYPERLINK("https%3A%2F%2Fwww.webofscience.com%2Fwos%2Fwoscc%2Ffull-record%2FWOS:000675827900029","View Full Record in Web of Science")</f>
        <v>View Full Record in Web of Science</v>
      </c>
    </row>
    <row r="564" ht="12.75" customHeight="1">
      <c r="A564" s="1" t="s">
        <v>72</v>
      </c>
      <c r="B564" s="1" t="s">
        <v>5814</v>
      </c>
      <c r="C564" s="1" t="s">
        <v>74</v>
      </c>
      <c r="D564" s="1" t="s">
        <v>74</v>
      </c>
      <c r="E564" s="1" t="s">
        <v>74</v>
      </c>
      <c r="F564" s="1" t="s">
        <v>5815</v>
      </c>
      <c r="G564" s="1" t="s">
        <v>74</v>
      </c>
      <c r="H564" s="1" t="s">
        <v>74</v>
      </c>
      <c r="I564" s="1" t="s">
        <v>5816</v>
      </c>
      <c r="J564" s="1" t="s">
        <v>136</v>
      </c>
      <c r="K564" s="1" t="s">
        <v>74</v>
      </c>
      <c r="L564" s="1" t="s">
        <v>74</v>
      </c>
      <c r="M564" s="1" t="s">
        <v>74</v>
      </c>
      <c r="N564" s="1" t="s">
        <v>74</v>
      </c>
      <c r="O564" s="1" t="s">
        <v>74</v>
      </c>
      <c r="P564" s="1" t="s">
        <v>74</v>
      </c>
      <c r="Q564" s="1" t="s">
        <v>74</v>
      </c>
      <c r="R564" s="1" t="s">
        <v>74</v>
      </c>
      <c r="S564" s="1" t="s">
        <v>74</v>
      </c>
      <c r="T564" s="1" t="s">
        <v>74</v>
      </c>
      <c r="U564" s="1" t="s">
        <v>74</v>
      </c>
      <c r="V564" s="1" t="s">
        <v>5817</v>
      </c>
      <c r="W564" s="1" t="s">
        <v>74</v>
      </c>
      <c r="X564" s="1" t="s">
        <v>74</v>
      </c>
      <c r="Y564" s="1" t="s">
        <v>74</v>
      </c>
      <c r="Z564" s="1" t="s">
        <v>74</v>
      </c>
      <c r="AA564" s="1" t="s">
        <v>5818</v>
      </c>
      <c r="AB564" s="1" t="s">
        <v>5819</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74</v>
      </c>
      <c r="AP564" s="1" t="s">
        <v>140</v>
      </c>
      <c r="AQ564" s="1" t="s">
        <v>74</v>
      </c>
      <c r="AR564" s="1" t="s">
        <v>74</v>
      </c>
      <c r="AS564" s="1" t="s">
        <v>74</v>
      </c>
      <c r="AT564" s="1" t="s">
        <v>346</v>
      </c>
      <c r="AU564" s="1">
        <v>2025.0</v>
      </c>
      <c r="AV564" s="1">
        <v>14.0</v>
      </c>
      <c r="AW564" s="1">
        <v>5.0</v>
      </c>
      <c r="AX564" s="1" t="s">
        <v>74</v>
      </c>
      <c r="AY564" s="1" t="s">
        <v>74</v>
      </c>
      <c r="AZ564" s="1" t="s">
        <v>74</v>
      </c>
      <c r="BA564" s="1" t="s">
        <v>74</v>
      </c>
      <c r="BB564" s="1" t="s">
        <v>74</v>
      </c>
      <c r="BC564" s="1" t="s">
        <v>74</v>
      </c>
      <c r="BD564" s="1">
        <v>1624.0</v>
      </c>
      <c r="BE564" s="1" t="s">
        <v>5820</v>
      </c>
      <c r="BF564" s="2" t="str">
        <f>HYPERLINK("http://dx.doi.org/10.3390/jcm14051624","http://dx.doi.org/10.3390/jcm14051624")</f>
        <v>http://dx.doi.org/10.3390/jcm14051624</v>
      </c>
      <c r="BG564" s="1" t="s">
        <v>74</v>
      </c>
      <c r="BH564" s="1" t="s">
        <v>74</v>
      </c>
      <c r="BI564" s="1" t="s">
        <v>74</v>
      </c>
      <c r="BJ564" s="1" t="s">
        <v>74</v>
      </c>
      <c r="BK564" s="1" t="s">
        <v>74</v>
      </c>
      <c r="BL564" s="1" t="s">
        <v>74</v>
      </c>
      <c r="BM564" s="1" t="s">
        <v>74</v>
      </c>
      <c r="BN564" s="1">
        <v>4.0095561E7</v>
      </c>
      <c r="BO564" s="1" t="s">
        <v>74</v>
      </c>
      <c r="BP564" s="1" t="s">
        <v>74</v>
      </c>
      <c r="BQ564" s="1" t="s">
        <v>74</v>
      </c>
      <c r="BR564" s="1" t="s">
        <v>74</v>
      </c>
      <c r="BS564" s="1" t="s">
        <v>5821</v>
      </c>
      <c r="BT564" s="1" t="str">
        <f>HYPERLINK("https%3A%2F%2Fwww.webofscience.com%2Fwos%2Fwoscc%2Ffull-record%2FWOS:001443866700001","View Full Record in Web of Science")</f>
        <v>View Full Record in Web of Science</v>
      </c>
    </row>
    <row r="565" ht="12.75" customHeight="1">
      <c r="A565" s="1" t="s">
        <v>72</v>
      </c>
      <c r="B565" s="1" t="s">
        <v>5822</v>
      </c>
      <c r="C565" s="1" t="s">
        <v>74</v>
      </c>
      <c r="D565" s="1" t="s">
        <v>74</v>
      </c>
      <c r="E565" s="1" t="s">
        <v>74</v>
      </c>
      <c r="F565" s="1" t="s">
        <v>5823</v>
      </c>
      <c r="G565" s="1" t="s">
        <v>74</v>
      </c>
      <c r="H565" s="1" t="s">
        <v>74</v>
      </c>
      <c r="I565" s="1" t="s">
        <v>5824</v>
      </c>
      <c r="J565" s="1" t="s">
        <v>1226</v>
      </c>
      <c r="K565" s="1" t="s">
        <v>74</v>
      </c>
      <c r="L565" s="1" t="s">
        <v>74</v>
      </c>
      <c r="M565" s="1" t="s">
        <v>74</v>
      </c>
      <c r="N565" s="1" t="s">
        <v>74</v>
      </c>
      <c r="O565" s="1" t="s">
        <v>74</v>
      </c>
      <c r="P565" s="1" t="s">
        <v>74</v>
      </c>
      <c r="Q565" s="1" t="s">
        <v>74</v>
      </c>
      <c r="R565" s="1" t="s">
        <v>74</v>
      </c>
      <c r="S565" s="1" t="s">
        <v>74</v>
      </c>
      <c r="T565" s="1" t="s">
        <v>74</v>
      </c>
      <c r="U565" s="1" t="s">
        <v>74</v>
      </c>
      <c r="V565" s="1" t="s">
        <v>5825</v>
      </c>
      <c r="W565" s="1" t="s">
        <v>74</v>
      </c>
      <c r="X565" s="1" t="s">
        <v>74</v>
      </c>
      <c r="Y565" s="1" t="s">
        <v>74</v>
      </c>
      <c r="Z565" s="1" t="s">
        <v>74</v>
      </c>
      <c r="AA565" s="1" t="s">
        <v>74</v>
      </c>
      <c r="AB565" s="1" t="s">
        <v>5826</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1228</v>
      </c>
      <c r="AP565" s="1" t="s">
        <v>1229</v>
      </c>
      <c r="AQ565" s="1" t="s">
        <v>74</v>
      </c>
      <c r="AR565" s="1" t="s">
        <v>74</v>
      </c>
      <c r="AS565" s="1" t="s">
        <v>74</v>
      </c>
      <c r="AT565" s="1" t="s">
        <v>1505</v>
      </c>
      <c r="AU565" s="1">
        <v>2024.0</v>
      </c>
      <c r="AV565" s="1">
        <v>690.0</v>
      </c>
      <c r="AW565" s="1" t="s">
        <v>74</v>
      </c>
      <c r="AX565" s="1" t="s">
        <v>74</v>
      </c>
      <c r="AY565" s="1" t="s">
        <v>74</v>
      </c>
      <c r="AZ565" s="1" t="s">
        <v>74</v>
      </c>
      <c r="BA565" s="1" t="s">
        <v>74</v>
      </c>
      <c r="BB565" s="1" t="s">
        <v>74</v>
      </c>
      <c r="BC565" s="1" t="s">
        <v>74</v>
      </c>
      <c r="BD565" s="1" t="s">
        <v>5827</v>
      </c>
      <c r="BE565" s="1" t="s">
        <v>5828</v>
      </c>
      <c r="BF565" s="2" t="str">
        <f>HYPERLINK("http://dx.doi.org/10.1051/0004-6361/202450940","http://dx.doi.org/10.1051/0004-6361/202450940")</f>
        <v>http://dx.doi.org/10.1051/0004-6361/202450940</v>
      </c>
      <c r="BG565" s="1" t="s">
        <v>74</v>
      </c>
      <c r="BH565" s="1" t="s">
        <v>74</v>
      </c>
      <c r="BI565" s="1" t="s">
        <v>74</v>
      </c>
      <c r="BJ565" s="1" t="s">
        <v>74</v>
      </c>
      <c r="BK565" s="1" t="s">
        <v>74</v>
      </c>
      <c r="BL565" s="1" t="s">
        <v>74</v>
      </c>
      <c r="BM565" s="1" t="s">
        <v>74</v>
      </c>
      <c r="BN565" s="1" t="s">
        <v>74</v>
      </c>
      <c r="BO565" s="1" t="s">
        <v>74</v>
      </c>
      <c r="BP565" s="1" t="s">
        <v>74</v>
      </c>
      <c r="BQ565" s="1" t="s">
        <v>74</v>
      </c>
      <c r="BR565" s="1" t="s">
        <v>74</v>
      </c>
      <c r="BS565" s="1" t="s">
        <v>5829</v>
      </c>
      <c r="BT565" s="1" t="str">
        <f>HYPERLINK("https%3A%2F%2Fwww.webofscience.com%2Fwos%2Fwoscc%2Ffull-record%2FWOS:001332213700006","View Full Record in Web of Science")</f>
        <v>View Full Record in Web of Science</v>
      </c>
    </row>
    <row r="566" ht="12.75" customHeight="1">
      <c r="A566" s="1" t="s">
        <v>72</v>
      </c>
      <c r="B566" s="1" t="s">
        <v>5830</v>
      </c>
      <c r="C566" s="1" t="s">
        <v>74</v>
      </c>
      <c r="D566" s="1" t="s">
        <v>74</v>
      </c>
      <c r="E566" s="1" t="s">
        <v>74</v>
      </c>
      <c r="F566" s="1" t="s">
        <v>5831</v>
      </c>
      <c r="G566" s="1" t="s">
        <v>74</v>
      </c>
      <c r="H566" s="1" t="s">
        <v>74</v>
      </c>
      <c r="I566" s="1" t="s">
        <v>5832</v>
      </c>
      <c r="J566" s="1" t="s">
        <v>5833</v>
      </c>
      <c r="K566" s="1" t="s">
        <v>74</v>
      </c>
      <c r="L566" s="1" t="s">
        <v>74</v>
      </c>
      <c r="M566" s="1" t="s">
        <v>74</v>
      </c>
      <c r="N566" s="1" t="s">
        <v>74</v>
      </c>
      <c r="O566" s="1" t="s">
        <v>74</v>
      </c>
      <c r="P566" s="1" t="s">
        <v>74</v>
      </c>
      <c r="Q566" s="1" t="s">
        <v>74</v>
      </c>
      <c r="R566" s="1" t="s">
        <v>74</v>
      </c>
      <c r="S566" s="1" t="s">
        <v>74</v>
      </c>
      <c r="T566" s="1" t="s">
        <v>74</v>
      </c>
      <c r="U566" s="1" t="s">
        <v>74</v>
      </c>
      <c r="V566" s="1" t="s">
        <v>5834</v>
      </c>
      <c r="W566" s="1" t="s">
        <v>74</v>
      </c>
      <c r="X566" s="1" t="s">
        <v>74</v>
      </c>
      <c r="Y566" s="1" t="s">
        <v>74</v>
      </c>
      <c r="Z566" s="1" t="s">
        <v>74</v>
      </c>
      <c r="AA566" s="1" t="s">
        <v>5835</v>
      </c>
      <c r="AB566" s="1" t="s">
        <v>5836</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5837</v>
      </c>
      <c r="AP566" s="1" t="s">
        <v>5838</v>
      </c>
      <c r="AQ566" s="1" t="s">
        <v>74</v>
      </c>
      <c r="AR566" s="1" t="s">
        <v>74</v>
      </c>
      <c r="AS566" s="1" t="s">
        <v>74</v>
      </c>
      <c r="AT566" s="1" t="s">
        <v>74</v>
      </c>
      <c r="AU566" s="1">
        <v>2021.0</v>
      </c>
      <c r="AV566" s="1">
        <v>50.0</v>
      </c>
      <c r="AW566" s="1">
        <v>1.0</v>
      </c>
      <c r="AX566" s="1" t="s">
        <v>74</v>
      </c>
      <c r="AY566" s="1" t="s">
        <v>74</v>
      </c>
      <c r="AZ566" s="1" t="s">
        <v>74</v>
      </c>
      <c r="BA566" s="1" t="s">
        <v>74</v>
      </c>
      <c r="BB566" s="1">
        <v>145.0</v>
      </c>
      <c r="BC566" s="1">
        <v>170.0</v>
      </c>
      <c r="BD566" s="1" t="s">
        <v>74</v>
      </c>
      <c r="BE566" s="1" t="s">
        <v>5839</v>
      </c>
      <c r="BF566" s="2" t="str">
        <f>HYPERLINK("http://dx.doi.org/10.1137/19M1303010","http://dx.doi.org/10.1137/19M1303010")</f>
        <v>http://dx.doi.org/10.1137/19M1303010</v>
      </c>
      <c r="BG566" s="1" t="s">
        <v>74</v>
      </c>
      <c r="BH566" s="1" t="s">
        <v>74</v>
      </c>
      <c r="BI566" s="1" t="s">
        <v>74</v>
      </c>
      <c r="BJ566" s="1" t="s">
        <v>74</v>
      </c>
      <c r="BK566" s="1" t="s">
        <v>74</v>
      </c>
      <c r="BL566" s="1" t="s">
        <v>74</v>
      </c>
      <c r="BM566" s="1" t="s">
        <v>74</v>
      </c>
      <c r="BN566" s="1" t="s">
        <v>74</v>
      </c>
      <c r="BO566" s="1" t="s">
        <v>74</v>
      </c>
      <c r="BP566" s="1" t="s">
        <v>74</v>
      </c>
      <c r="BQ566" s="1" t="s">
        <v>74</v>
      </c>
      <c r="BR566" s="1" t="s">
        <v>74</v>
      </c>
      <c r="BS566" s="1" t="s">
        <v>5840</v>
      </c>
      <c r="BT566" s="1" t="str">
        <f>HYPERLINK("https%3A%2F%2Fwww.webofscience.com%2Fwos%2Fwoscc%2Ffull-record%2FWOS:000641739300005","View Full Record in Web of Science")</f>
        <v>View Full Record in Web of Science</v>
      </c>
    </row>
    <row r="567" ht="12.75" customHeight="1">
      <c r="A567" s="1" t="s">
        <v>72</v>
      </c>
      <c r="B567" s="1" t="s">
        <v>5841</v>
      </c>
      <c r="C567" s="1" t="s">
        <v>74</v>
      </c>
      <c r="D567" s="1" t="s">
        <v>74</v>
      </c>
      <c r="E567" s="1" t="s">
        <v>74</v>
      </c>
      <c r="F567" s="1" t="s">
        <v>5842</v>
      </c>
      <c r="G567" s="1" t="s">
        <v>74</v>
      </c>
      <c r="H567" s="1" t="s">
        <v>5843</v>
      </c>
      <c r="I567" s="1" t="s">
        <v>5844</v>
      </c>
      <c r="J567" s="1" t="s">
        <v>5845</v>
      </c>
      <c r="K567" s="1" t="s">
        <v>74</v>
      </c>
      <c r="L567" s="1" t="s">
        <v>74</v>
      </c>
      <c r="M567" s="1" t="s">
        <v>74</v>
      </c>
      <c r="N567" s="1" t="s">
        <v>74</v>
      </c>
      <c r="O567" s="1" t="s">
        <v>74</v>
      </c>
      <c r="P567" s="1" t="s">
        <v>74</v>
      </c>
      <c r="Q567" s="1" t="s">
        <v>74</v>
      </c>
      <c r="R567" s="1" t="s">
        <v>74</v>
      </c>
      <c r="S567" s="1" t="s">
        <v>74</v>
      </c>
      <c r="T567" s="1" t="s">
        <v>74</v>
      </c>
      <c r="U567" s="1" t="s">
        <v>74</v>
      </c>
      <c r="V567" s="1" t="s">
        <v>74</v>
      </c>
      <c r="W567" s="1" t="s">
        <v>74</v>
      </c>
      <c r="X567" s="1" t="s">
        <v>74</v>
      </c>
      <c r="Y567" s="1" t="s">
        <v>74</v>
      </c>
      <c r="Z567" s="1" t="s">
        <v>74</v>
      </c>
      <c r="AA567" s="1" t="s">
        <v>5846</v>
      </c>
      <c r="AB567" s="1" t="s">
        <v>74</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5847</v>
      </c>
      <c r="AP567" s="1" t="s">
        <v>5848</v>
      </c>
      <c r="AQ567" s="1" t="s">
        <v>74</v>
      </c>
      <c r="AR567" s="1" t="s">
        <v>74</v>
      </c>
      <c r="AS567" s="1" t="s">
        <v>74</v>
      </c>
      <c r="AT567" s="1" t="s">
        <v>5849</v>
      </c>
      <c r="AU567" s="1">
        <v>2013.0</v>
      </c>
      <c r="AV567" s="1">
        <v>30.0</v>
      </c>
      <c r="AW567" s="1">
        <v>3.0</v>
      </c>
      <c r="AX567" s="1" t="s">
        <v>74</v>
      </c>
      <c r="AY567" s="1" t="s">
        <v>74</v>
      </c>
      <c r="AZ567" s="1" t="s">
        <v>74</v>
      </c>
      <c r="BA567" s="1" t="s">
        <v>74</v>
      </c>
      <c r="BB567" s="1">
        <v>259.0</v>
      </c>
      <c r="BC567" s="1">
        <v>302.0</v>
      </c>
      <c r="BD567" s="1" t="s">
        <v>74</v>
      </c>
      <c r="BE567" s="1" t="s">
        <v>74</v>
      </c>
      <c r="BF567" s="1" t="s">
        <v>74</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5850</v>
      </c>
      <c r="BT567" s="1" t="str">
        <f>HYPERLINK("https%3A%2F%2Fwww.webofscience.com%2Fwos%2Fwoscc%2Ffull-record%2FWOS:000320345400005","View Full Record in Web of Science")</f>
        <v>View Full Record in Web of Science</v>
      </c>
    </row>
    <row r="568" ht="12.75" customHeight="1">
      <c r="A568" s="1" t="s">
        <v>72</v>
      </c>
      <c r="B568" s="1" t="s">
        <v>5851</v>
      </c>
      <c r="C568" s="1" t="s">
        <v>74</v>
      </c>
      <c r="D568" s="1" t="s">
        <v>74</v>
      </c>
      <c r="E568" s="1" t="s">
        <v>74</v>
      </c>
      <c r="F568" s="1" t="s">
        <v>5852</v>
      </c>
      <c r="G568" s="1" t="s">
        <v>74</v>
      </c>
      <c r="H568" s="1" t="s">
        <v>74</v>
      </c>
      <c r="I568" s="1" t="s">
        <v>5853</v>
      </c>
      <c r="J568" s="1" t="s">
        <v>4306</v>
      </c>
      <c r="K568" s="1" t="s">
        <v>74</v>
      </c>
      <c r="L568" s="1" t="s">
        <v>74</v>
      </c>
      <c r="M568" s="1" t="s">
        <v>74</v>
      </c>
      <c r="N568" s="1" t="s">
        <v>74</v>
      </c>
      <c r="O568" s="1" t="s">
        <v>74</v>
      </c>
      <c r="P568" s="1" t="s">
        <v>74</v>
      </c>
      <c r="Q568" s="1" t="s">
        <v>74</v>
      </c>
      <c r="R568" s="1" t="s">
        <v>74</v>
      </c>
      <c r="S568" s="1" t="s">
        <v>74</v>
      </c>
      <c r="T568" s="1" t="s">
        <v>74</v>
      </c>
      <c r="U568" s="1" t="s">
        <v>74</v>
      </c>
      <c r="V568" s="1" t="s">
        <v>5854</v>
      </c>
      <c r="W568" s="1" t="s">
        <v>74</v>
      </c>
      <c r="X568" s="1" t="s">
        <v>74</v>
      </c>
      <c r="Y568" s="1" t="s">
        <v>74</v>
      </c>
      <c r="Z568" s="1" t="s">
        <v>74</v>
      </c>
      <c r="AA568" s="1" t="s">
        <v>5855</v>
      </c>
      <c r="AB568" s="1" t="s">
        <v>5856</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74</v>
      </c>
      <c r="AP568" s="1" t="s">
        <v>4310</v>
      </c>
      <c r="AQ568" s="1" t="s">
        <v>74</v>
      </c>
      <c r="AR568" s="1" t="s">
        <v>74</v>
      </c>
      <c r="AS568" s="1" t="s">
        <v>74</v>
      </c>
      <c r="AT568" s="1" t="s">
        <v>106</v>
      </c>
      <c r="AU568" s="1">
        <v>2021.0</v>
      </c>
      <c r="AV568" s="1">
        <v>19.0</v>
      </c>
      <c r="AW568" s="1">
        <v>11.0</v>
      </c>
      <c r="AX568" s="1" t="s">
        <v>74</v>
      </c>
      <c r="AY568" s="1" t="s">
        <v>74</v>
      </c>
      <c r="AZ568" s="1" t="s">
        <v>74</v>
      </c>
      <c r="BA568" s="1" t="s">
        <v>74</v>
      </c>
      <c r="BB568" s="1" t="s">
        <v>74</v>
      </c>
      <c r="BC568" s="1" t="s">
        <v>74</v>
      </c>
      <c r="BD568" s="1" t="s">
        <v>5857</v>
      </c>
      <c r="BE568" s="1" t="s">
        <v>5858</v>
      </c>
      <c r="BF568" s="2" t="str">
        <f>HYPERLINK("http://dx.doi.org/10.1029/2021SW002831","http://dx.doi.org/10.1029/2021SW002831")</f>
        <v>http://dx.doi.org/10.1029/2021SW002831</v>
      </c>
      <c r="BG568" s="1" t="s">
        <v>74</v>
      </c>
      <c r="BH568" s="1" t="s">
        <v>74</v>
      </c>
      <c r="BI568" s="1" t="s">
        <v>74</v>
      </c>
      <c r="BJ568" s="1" t="s">
        <v>74</v>
      </c>
      <c r="BK568" s="1" t="s">
        <v>74</v>
      </c>
      <c r="BL568" s="1" t="s">
        <v>74</v>
      </c>
      <c r="BM568" s="1" t="s">
        <v>74</v>
      </c>
      <c r="BN568" s="1" t="s">
        <v>74</v>
      </c>
      <c r="BO568" s="1" t="s">
        <v>74</v>
      </c>
      <c r="BP568" s="1" t="s">
        <v>74</v>
      </c>
      <c r="BQ568" s="1" t="s">
        <v>74</v>
      </c>
      <c r="BR568" s="1" t="s">
        <v>74</v>
      </c>
      <c r="BS568" s="1" t="s">
        <v>5859</v>
      </c>
      <c r="BT568" s="1" t="str">
        <f>HYPERLINK("https%3A%2F%2Fwww.webofscience.com%2Fwos%2Fwoscc%2Ffull-record%2FWOS:000722467500012","View Full Record in Web of Science")</f>
        <v>View Full Record in Web of Science</v>
      </c>
    </row>
    <row r="569" ht="12.75" customHeight="1">
      <c r="A569" s="1" t="s">
        <v>72</v>
      </c>
      <c r="B569" s="1" t="s">
        <v>5860</v>
      </c>
      <c r="C569" s="1" t="s">
        <v>74</v>
      </c>
      <c r="D569" s="1" t="s">
        <v>74</v>
      </c>
      <c r="E569" s="1" t="s">
        <v>74</v>
      </c>
      <c r="F569" s="1" t="s">
        <v>5861</v>
      </c>
      <c r="G569" s="1" t="s">
        <v>74</v>
      </c>
      <c r="H569" s="1" t="s">
        <v>74</v>
      </c>
      <c r="I569" s="1" t="s">
        <v>5862</v>
      </c>
      <c r="J569" s="1" t="s">
        <v>5863</v>
      </c>
      <c r="K569" s="1" t="s">
        <v>74</v>
      </c>
      <c r="L569" s="1" t="s">
        <v>74</v>
      </c>
      <c r="M569" s="1" t="s">
        <v>74</v>
      </c>
      <c r="N569" s="1" t="s">
        <v>74</v>
      </c>
      <c r="O569" s="1" t="s">
        <v>74</v>
      </c>
      <c r="P569" s="1" t="s">
        <v>74</v>
      </c>
      <c r="Q569" s="1" t="s">
        <v>74</v>
      </c>
      <c r="R569" s="1" t="s">
        <v>74</v>
      </c>
      <c r="S569" s="1" t="s">
        <v>74</v>
      </c>
      <c r="T569" s="1" t="s">
        <v>74</v>
      </c>
      <c r="U569" s="1" t="s">
        <v>74</v>
      </c>
      <c r="V569" s="1" t="s">
        <v>5864</v>
      </c>
      <c r="W569" s="1" t="s">
        <v>74</v>
      </c>
      <c r="X569" s="1" t="s">
        <v>74</v>
      </c>
      <c r="Y569" s="1" t="s">
        <v>74</v>
      </c>
      <c r="Z569" s="1" t="s">
        <v>74</v>
      </c>
      <c r="AA569" s="1" t="s">
        <v>5865</v>
      </c>
      <c r="AB569" s="1" t="s">
        <v>5866</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5867</v>
      </c>
      <c r="AP569" s="1" t="s">
        <v>74</v>
      </c>
      <c r="AQ569" s="1" t="s">
        <v>74</v>
      </c>
      <c r="AR569" s="1" t="s">
        <v>74</v>
      </c>
      <c r="AS569" s="1" t="s">
        <v>74</v>
      </c>
      <c r="AT569" s="1" t="s">
        <v>3718</v>
      </c>
      <c r="AU569" s="1">
        <v>2021.0</v>
      </c>
      <c r="AV569" s="1">
        <v>16.0</v>
      </c>
      <c r="AW569" s="1">
        <v>2.0</v>
      </c>
      <c r="AX569" s="1" t="s">
        <v>74</v>
      </c>
      <c r="AY569" s="1" t="s">
        <v>74</v>
      </c>
      <c r="AZ569" s="1" t="s">
        <v>74</v>
      </c>
      <c r="BA569" s="1" t="s">
        <v>74</v>
      </c>
      <c r="BB569" s="1" t="s">
        <v>74</v>
      </c>
      <c r="BC569" s="1" t="s">
        <v>74</v>
      </c>
      <c r="BD569" s="1">
        <v>24002.0</v>
      </c>
      <c r="BE569" s="1" t="s">
        <v>5868</v>
      </c>
      <c r="BF569" s="2" t="str">
        <f>HYPERLINK("http://dx.doi.org/10.1103/PhysRevApplied.16.024002","http://dx.doi.org/10.1103/PhysRevApplied.16.024002")</f>
        <v>http://dx.doi.org/10.1103/PhysRevApplied.16.024002</v>
      </c>
      <c r="BG569" s="1" t="s">
        <v>74</v>
      </c>
      <c r="BH569" s="1" t="s">
        <v>74</v>
      </c>
      <c r="BI569" s="1" t="s">
        <v>74</v>
      </c>
      <c r="BJ569" s="1" t="s">
        <v>74</v>
      </c>
      <c r="BK569" s="1" t="s">
        <v>74</v>
      </c>
      <c r="BL569" s="1" t="s">
        <v>74</v>
      </c>
      <c r="BM569" s="1" t="s">
        <v>74</v>
      </c>
      <c r="BN569" s="1" t="s">
        <v>74</v>
      </c>
      <c r="BO569" s="1" t="s">
        <v>74</v>
      </c>
      <c r="BP569" s="1" t="s">
        <v>74</v>
      </c>
      <c r="BQ569" s="1" t="s">
        <v>74</v>
      </c>
      <c r="BR569" s="1" t="s">
        <v>74</v>
      </c>
      <c r="BS569" s="1" t="s">
        <v>5869</v>
      </c>
      <c r="BT569" s="1" t="str">
        <f>HYPERLINK("https%3A%2F%2Fwww.webofscience.com%2Fwos%2Fwoscc%2Ffull-record%2FWOS:000680846600001","View Full Record in Web of Science")</f>
        <v>View Full Record in Web of Science</v>
      </c>
    </row>
    <row r="570" ht="12.75" customHeight="1">
      <c r="A570" s="1" t="s">
        <v>72</v>
      </c>
      <c r="B570" s="1" t="s">
        <v>5870</v>
      </c>
      <c r="C570" s="1" t="s">
        <v>74</v>
      </c>
      <c r="D570" s="1" t="s">
        <v>74</v>
      </c>
      <c r="E570" s="1" t="s">
        <v>74</v>
      </c>
      <c r="F570" s="1" t="s">
        <v>5871</v>
      </c>
      <c r="G570" s="1" t="s">
        <v>74</v>
      </c>
      <c r="H570" s="1" t="s">
        <v>74</v>
      </c>
      <c r="I570" s="1" t="s">
        <v>5872</v>
      </c>
      <c r="J570" s="1" t="s">
        <v>5873</v>
      </c>
      <c r="K570" s="1" t="s">
        <v>74</v>
      </c>
      <c r="L570" s="1" t="s">
        <v>74</v>
      </c>
      <c r="M570" s="1" t="s">
        <v>74</v>
      </c>
      <c r="N570" s="1" t="s">
        <v>74</v>
      </c>
      <c r="O570" s="1" t="s">
        <v>74</v>
      </c>
      <c r="P570" s="1" t="s">
        <v>74</v>
      </c>
      <c r="Q570" s="1" t="s">
        <v>74</v>
      </c>
      <c r="R570" s="1" t="s">
        <v>74</v>
      </c>
      <c r="S570" s="1" t="s">
        <v>74</v>
      </c>
      <c r="T570" s="1" t="s">
        <v>74</v>
      </c>
      <c r="U570" s="1" t="s">
        <v>74</v>
      </c>
      <c r="V570" s="1" t="s">
        <v>5874</v>
      </c>
      <c r="W570" s="1" t="s">
        <v>74</v>
      </c>
      <c r="X570" s="1" t="s">
        <v>74</v>
      </c>
      <c r="Y570" s="1" t="s">
        <v>74</v>
      </c>
      <c r="Z570" s="1" t="s">
        <v>74</v>
      </c>
      <c r="AA570" s="1" t="s">
        <v>74</v>
      </c>
      <c r="AB570" s="1" t="s">
        <v>5875</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5876</v>
      </c>
      <c r="AP570" s="1" t="s">
        <v>5877</v>
      </c>
      <c r="AQ570" s="1" t="s">
        <v>74</v>
      </c>
      <c r="AR570" s="1" t="s">
        <v>74</v>
      </c>
      <c r="AS570" s="1" t="s">
        <v>74</v>
      </c>
      <c r="AT570" s="1" t="s">
        <v>392</v>
      </c>
      <c r="AU570" s="1">
        <v>2020.0</v>
      </c>
      <c r="AV570" s="1">
        <v>172.0</v>
      </c>
      <c r="AW570" s="1" t="s">
        <v>74</v>
      </c>
      <c r="AX570" s="1" t="s">
        <v>74</v>
      </c>
      <c r="AY570" s="1" t="s">
        <v>74</v>
      </c>
      <c r="AZ570" s="1" t="s">
        <v>74</v>
      </c>
      <c r="BA570" s="1" t="s">
        <v>74</v>
      </c>
      <c r="BB570" s="1">
        <v>17.0</v>
      </c>
      <c r="BC570" s="1">
        <v>32.0</v>
      </c>
      <c r="BD570" s="1" t="s">
        <v>74</v>
      </c>
      <c r="BE570" s="1" t="s">
        <v>5878</v>
      </c>
      <c r="BF570" s="2" t="str">
        <f>HYPERLINK("http://dx.doi.org/10.1016/j.jebo.2020.01.025","http://dx.doi.org/10.1016/j.jebo.2020.01.025")</f>
        <v>http://dx.doi.org/10.1016/j.jebo.2020.01.025</v>
      </c>
      <c r="BG570" s="1" t="s">
        <v>74</v>
      </c>
      <c r="BH570" s="1" t="s">
        <v>74</v>
      </c>
      <c r="BI570" s="1" t="s">
        <v>74</v>
      </c>
      <c r="BJ570" s="1" t="s">
        <v>74</v>
      </c>
      <c r="BK570" s="1" t="s">
        <v>74</v>
      </c>
      <c r="BL570" s="1" t="s">
        <v>74</v>
      </c>
      <c r="BM570" s="1" t="s">
        <v>74</v>
      </c>
      <c r="BN570" s="1" t="s">
        <v>74</v>
      </c>
      <c r="BO570" s="1" t="s">
        <v>74</v>
      </c>
      <c r="BP570" s="1" t="s">
        <v>74</v>
      </c>
      <c r="BQ570" s="1" t="s">
        <v>74</v>
      </c>
      <c r="BR570" s="1" t="s">
        <v>74</v>
      </c>
      <c r="BS570" s="1" t="s">
        <v>5879</v>
      </c>
      <c r="BT570" s="1" t="str">
        <f>HYPERLINK("https%3A%2F%2Fwww.webofscience.com%2Fwos%2Fwoscc%2Ffull-record%2FWOS:000528248700002","View Full Record in Web of Science")</f>
        <v>View Full Record in Web of Science</v>
      </c>
    </row>
    <row r="571" ht="12.75" customHeight="1">
      <c r="A571" s="1" t="s">
        <v>72</v>
      </c>
      <c r="B571" s="1" t="s">
        <v>5880</v>
      </c>
      <c r="C571" s="1" t="s">
        <v>74</v>
      </c>
      <c r="D571" s="1" t="s">
        <v>74</v>
      </c>
      <c r="E571" s="1" t="s">
        <v>74</v>
      </c>
      <c r="F571" s="1" t="s">
        <v>2328</v>
      </c>
      <c r="G571" s="1" t="s">
        <v>74</v>
      </c>
      <c r="H571" s="1" t="s">
        <v>74</v>
      </c>
      <c r="I571" s="1" t="s">
        <v>5881</v>
      </c>
      <c r="J571" s="1" t="s">
        <v>2330</v>
      </c>
      <c r="K571" s="1" t="s">
        <v>74</v>
      </c>
      <c r="L571" s="1" t="s">
        <v>74</v>
      </c>
      <c r="M571" s="1" t="s">
        <v>74</v>
      </c>
      <c r="N571" s="1" t="s">
        <v>74</v>
      </c>
      <c r="O571" s="1" t="s">
        <v>74</v>
      </c>
      <c r="P571" s="1" t="s">
        <v>74</v>
      </c>
      <c r="Q571" s="1" t="s">
        <v>74</v>
      </c>
      <c r="R571" s="1" t="s">
        <v>74</v>
      </c>
      <c r="S571" s="1" t="s">
        <v>74</v>
      </c>
      <c r="T571" s="1" t="s">
        <v>74</v>
      </c>
      <c r="U571" s="1" t="s">
        <v>74</v>
      </c>
      <c r="V571" s="1" t="s">
        <v>5882</v>
      </c>
      <c r="W571" s="1" t="s">
        <v>74</v>
      </c>
      <c r="X571" s="1" t="s">
        <v>74</v>
      </c>
      <c r="Y571" s="1" t="s">
        <v>74</v>
      </c>
      <c r="Z571" s="1" t="s">
        <v>74</v>
      </c>
      <c r="AA571" s="1" t="s">
        <v>5883</v>
      </c>
      <c r="AB571" s="1" t="s">
        <v>5884</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2333</v>
      </c>
      <c r="AP571" s="1" t="s">
        <v>2334</v>
      </c>
      <c r="AQ571" s="1" t="s">
        <v>74</v>
      </c>
      <c r="AR571" s="1" t="s">
        <v>74</v>
      </c>
      <c r="AS571" s="1" t="s">
        <v>74</v>
      </c>
      <c r="AT571" s="1" t="s">
        <v>141</v>
      </c>
      <c r="AU571" s="1">
        <v>2018.0</v>
      </c>
      <c r="AV571" s="1">
        <v>110.0</v>
      </c>
      <c r="AW571" s="1" t="s">
        <v>74</v>
      </c>
      <c r="AX571" s="1" t="s">
        <v>74</v>
      </c>
      <c r="AY571" s="1" t="s">
        <v>74</v>
      </c>
      <c r="AZ571" s="1" t="s">
        <v>74</v>
      </c>
      <c r="BA571" s="1" t="s">
        <v>74</v>
      </c>
      <c r="BB571" s="1">
        <v>216.0</v>
      </c>
      <c r="BC571" s="1">
        <v>222.0</v>
      </c>
      <c r="BD571" s="1" t="s">
        <v>74</v>
      </c>
      <c r="BE571" s="1" t="s">
        <v>5885</v>
      </c>
      <c r="BF571" s="2" t="str">
        <f>HYPERLINK("http://dx.doi.org/10.1016/j.exger.2018.06.014","http://dx.doi.org/10.1016/j.exger.2018.06.014")</f>
        <v>http://dx.doi.org/10.1016/j.exger.2018.06.014</v>
      </c>
      <c r="BG571" s="1" t="s">
        <v>74</v>
      </c>
      <c r="BH571" s="1" t="s">
        <v>74</v>
      </c>
      <c r="BI571" s="1" t="s">
        <v>74</v>
      </c>
      <c r="BJ571" s="1" t="s">
        <v>74</v>
      </c>
      <c r="BK571" s="1" t="s">
        <v>74</v>
      </c>
      <c r="BL571" s="1" t="s">
        <v>74</v>
      </c>
      <c r="BM571" s="1" t="s">
        <v>74</v>
      </c>
      <c r="BN571" s="1">
        <v>2.9909049E7</v>
      </c>
      <c r="BO571" s="1" t="s">
        <v>74</v>
      </c>
      <c r="BP571" s="1" t="s">
        <v>74</v>
      </c>
      <c r="BQ571" s="1" t="s">
        <v>74</v>
      </c>
      <c r="BR571" s="1" t="s">
        <v>74</v>
      </c>
      <c r="BS571" s="1" t="s">
        <v>5886</v>
      </c>
      <c r="BT571" s="1" t="str">
        <f>HYPERLINK("https%3A%2F%2Fwww.webofscience.com%2Fwos%2Fwoscc%2Ffull-record%2FWOS:000442386400029","View Full Record in Web of Science")</f>
        <v>View Full Record in Web of Science</v>
      </c>
    </row>
    <row r="572" ht="12.75" customHeight="1">
      <c r="A572" s="1" t="s">
        <v>72</v>
      </c>
      <c r="B572" s="1" t="s">
        <v>5887</v>
      </c>
      <c r="C572" s="1" t="s">
        <v>74</v>
      </c>
      <c r="D572" s="1" t="s">
        <v>74</v>
      </c>
      <c r="E572" s="1" t="s">
        <v>74</v>
      </c>
      <c r="F572" s="1" t="s">
        <v>5888</v>
      </c>
      <c r="G572" s="1" t="s">
        <v>74</v>
      </c>
      <c r="H572" s="1" t="s">
        <v>74</v>
      </c>
      <c r="I572" s="1" t="s">
        <v>5889</v>
      </c>
      <c r="J572" s="1" t="s">
        <v>306</v>
      </c>
      <c r="K572" s="1" t="s">
        <v>74</v>
      </c>
      <c r="L572" s="1" t="s">
        <v>74</v>
      </c>
      <c r="M572" s="1" t="s">
        <v>74</v>
      </c>
      <c r="N572" s="1" t="s">
        <v>74</v>
      </c>
      <c r="O572" s="1" t="s">
        <v>74</v>
      </c>
      <c r="P572" s="1" t="s">
        <v>74</v>
      </c>
      <c r="Q572" s="1" t="s">
        <v>74</v>
      </c>
      <c r="R572" s="1" t="s">
        <v>74</v>
      </c>
      <c r="S572" s="1" t="s">
        <v>74</v>
      </c>
      <c r="T572" s="1" t="s">
        <v>74</v>
      </c>
      <c r="U572" s="1" t="s">
        <v>74</v>
      </c>
      <c r="V572" s="1" t="s">
        <v>5890</v>
      </c>
      <c r="W572" s="1" t="s">
        <v>74</v>
      </c>
      <c r="X572" s="1" t="s">
        <v>74</v>
      </c>
      <c r="Y572" s="1" t="s">
        <v>74</v>
      </c>
      <c r="Z572" s="1" t="s">
        <v>74</v>
      </c>
      <c r="AA572" s="1" t="s">
        <v>5891</v>
      </c>
      <c r="AB572" s="1" t="s">
        <v>74</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310</v>
      </c>
      <c r="AP572" s="1" t="s">
        <v>311</v>
      </c>
      <c r="AQ572" s="1" t="s">
        <v>74</v>
      </c>
      <c r="AR572" s="1" t="s">
        <v>74</v>
      </c>
      <c r="AS572" s="1" t="s">
        <v>74</v>
      </c>
      <c r="AT572" s="1" t="s">
        <v>226</v>
      </c>
      <c r="AU572" s="1">
        <v>2025.0</v>
      </c>
      <c r="AV572" s="1">
        <v>1021.0</v>
      </c>
      <c r="AW572" s="1" t="s">
        <v>74</v>
      </c>
      <c r="AX572" s="1" t="s">
        <v>74</v>
      </c>
      <c r="AY572" s="1" t="s">
        <v>74</v>
      </c>
      <c r="AZ572" s="1" t="s">
        <v>74</v>
      </c>
      <c r="BA572" s="1" t="s">
        <v>74</v>
      </c>
      <c r="BB572" s="1" t="s">
        <v>74</v>
      </c>
      <c r="BC572" s="1" t="s">
        <v>74</v>
      </c>
      <c r="BD572" s="1">
        <v>179731.0</v>
      </c>
      <c r="BE572" s="1" t="s">
        <v>5892</v>
      </c>
      <c r="BF572" s="2" t="str">
        <f>HYPERLINK("http://dx.doi.org/10.1016/j.jallcom.2025.179731","http://dx.doi.org/10.1016/j.jallcom.2025.179731")</f>
        <v>http://dx.doi.org/10.1016/j.jallcom.2025.179731</v>
      </c>
      <c r="BG572" s="1" t="s">
        <v>74</v>
      </c>
      <c r="BH572" s="1" t="s">
        <v>4881</v>
      </c>
      <c r="BI572" s="1" t="s">
        <v>74</v>
      </c>
      <c r="BJ572" s="1" t="s">
        <v>74</v>
      </c>
      <c r="BK572" s="1" t="s">
        <v>74</v>
      </c>
      <c r="BL572" s="1" t="s">
        <v>74</v>
      </c>
      <c r="BM572" s="1" t="s">
        <v>74</v>
      </c>
      <c r="BN572" s="1" t="s">
        <v>74</v>
      </c>
      <c r="BO572" s="1" t="s">
        <v>74</v>
      </c>
      <c r="BP572" s="1" t="s">
        <v>74</v>
      </c>
      <c r="BQ572" s="1" t="s">
        <v>74</v>
      </c>
      <c r="BR572" s="1" t="s">
        <v>74</v>
      </c>
      <c r="BS572" s="1" t="s">
        <v>5893</v>
      </c>
      <c r="BT572" s="1" t="str">
        <f>HYPERLINK("https%3A%2F%2Fwww.webofscience.com%2Fwos%2Fwoscc%2Ffull-record%2FWOS:001452098700001","View Full Record in Web of Science")</f>
        <v>View Full Record in Web of Science</v>
      </c>
    </row>
    <row r="573" ht="12.75" customHeight="1">
      <c r="A573" s="1" t="s">
        <v>72</v>
      </c>
      <c r="B573" s="1" t="s">
        <v>5894</v>
      </c>
      <c r="C573" s="1" t="s">
        <v>74</v>
      </c>
      <c r="D573" s="1" t="s">
        <v>74</v>
      </c>
      <c r="E573" s="1" t="s">
        <v>74</v>
      </c>
      <c r="F573" s="1" t="s">
        <v>5895</v>
      </c>
      <c r="G573" s="1" t="s">
        <v>74</v>
      </c>
      <c r="H573" s="1" t="s">
        <v>74</v>
      </c>
      <c r="I573" s="1" t="s">
        <v>5896</v>
      </c>
      <c r="J573" s="1" t="s">
        <v>5897</v>
      </c>
      <c r="K573" s="1" t="s">
        <v>74</v>
      </c>
      <c r="L573" s="1" t="s">
        <v>74</v>
      </c>
      <c r="M573" s="1" t="s">
        <v>74</v>
      </c>
      <c r="N573" s="1" t="s">
        <v>74</v>
      </c>
      <c r="O573" s="1" t="s">
        <v>74</v>
      </c>
      <c r="P573" s="1" t="s">
        <v>74</v>
      </c>
      <c r="Q573" s="1" t="s">
        <v>74</v>
      </c>
      <c r="R573" s="1" t="s">
        <v>74</v>
      </c>
      <c r="S573" s="1" t="s">
        <v>74</v>
      </c>
      <c r="T573" s="1" t="s">
        <v>74</v>
      </c>
      <c r="U573" s="1" t="s">
        <v>74</v>
      </c>
      <c r="V573" s="1" t="s">
        <v>5898</v>
      </c>
      <c r="W573" s="1" t="s">
        <v>74</v>
      </c>
      <c r="X573" s="1" t="s">
        <v>74</v>
      </c>
      <c r="Y573" s="1" t="s">
        <v>74</v>
      </c>
      <c r="Z573" s="1" t="s">
        <v>74</v>
      </c>
      <c r="AA573" s="1" t="s">
        <v>5899</v>
      </c>
      <c r="AB573" s="1" t="s">
        <v>5900</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5901</v>
      </c>
      <c r="AP573" s="1" t="s">
        <v>5902</v>
      </c>
      <c r="AQ573" s="1" t="s">
        <v>74</v>
      </c>
      <c r="AR573" s="1" t="s">
        <v>74</v>
      </c>
      <c r="AS573" s="1" t="s">
        <v>74</v>
      </c>
      <c r="AT573" s="1" t="s">
        <v>5903</v>
      </c>
      <c r="AU573" s="1">
        <v>2025.0</v>
      </c>
      <c r="AV573" s="1">
        <v>705.0</v>
      </c>
      <c r="AW573" s="1" t="s">
        <v>74</v>
      </c>
      <c r="AX573" s="1" t="s">
        <v>74</v>
      </c>
      <c r="AY573" s="1" t="s">
        <v>74</v>
      </c>
      <c r="AZ573" s="1" t="s">
        <v>74</v>
      </c>
      <c r="BA573" s="1" t="s">
        <v>74</v>
      </c>
      <c r="BB573" s="1" t="s">
        <v>74</v>
      </c>
      <c r="BC573" s="1" t="s">
        <v>74</v>
      </c>
      <c r="BD573" s="1">
        <v>417079.0</v>
      </c>
      <c r="BE573" s="1" t="s">
        <v>5904</v>
      </c>
      <c r="BF573" s="2" t="str">
        <f>HYPERLINK("http://dx.doi.org/10.1016/j.physb.2025.417079","http://dx.doi.org/10.1016/j.physb.2025.417079")</f>
        <v>http://dx.doi.org/10.1016/j.physb.2025.417079</v>
      </c>
      <c r="BG573" s="1" t="s">
        <v>74</v>
      </c>
      <c r="BH573" s="1" t="s">
        <v>4881</v>
      </c>
      <c r="BI573" s="1" t="s">
        <v>74</v>
      </c>
      <c r="BJ573" s="1" t="s">
        <v>74</v>
      </c>
      <c r="BK573" s="1" t="s">
        <v>74</v>
      </c>
      <c r="BL573" s="1" t="s">
        <v>74</v>
      </c>
      <c r="BM573" s="1" t="s">
        <v>74</v>
      </c>
      <c r="BN573" s="1" t="s">
        <v>74</v>
      </c>
      <c r="BO573" s="1" t="s">
        <v>74</v>
      </c>
      <c r="BP573" s="1" t="s">
        <v>74</v>
      </c>
      <c r="BQ573" s="1" t="s">
        <v>74</v>
      </c>
      <c r="BR573" s="1" t="s">
        <v>74</v>
      </c>
      <c r="BS573" s="1" t="s">
        <v>5905</v>
      </c>
      <c r="BT573" s="1" t="str">
        <f>HYPERLINK("https%3A%2F%2Fwww.webofscience.com%2Fwos%2Fwoscc%2Ffull-record%2FWOS:001437771000001","View Full Record in Web of Science")</f>
        <v>View Full Record in Web of Science</v>
      </c>
    </row>
    <row r="574" ht="12.75" customHeight="1">
      <c r="A574" s="1" t="s">
        <v>72</v>
      </c>
      <c r="B574" s="1" t="s">
        <v>5906</v>
      </c>
      <c r="C574" s="1" t="s">
        <v>74</v>
      </c>
      <c r="D574" s="1" t="s">
        <v>74</v>
      </c>
      <c r="E574" s="1" t="s">
        <v>74</v>
      </c>
      <c r="F574" s="1" t="s">
        <v>5907</v>
      </c>
      <c r="G574" s="1" t="s">
        <v>74</v>
      </c>
      <c r="H574" s="1" t="s">
        <v>74</v>
      </c>
      <c r="I574" s="1" t="s">
        <v>5908</v>
      </c>
      <c r="J574" s="1" t="s">
        <v>480</v>
      </c>
      <c r="K574" s="1" t="s">
        <v>74</v>
      </c>
      <c r="L574" s="1" t="s">
        <v>74</v>
      </c>
      <c r="M574" s="1" t="s">
        <v>74</v>
      </c>
      <c r="N574" s="1" t="s">
        <v>74</v>
      </c>
      <c r="O574" s="1" t="s">
        <v>74</v>
      </c>
      <c r="P574" s="1" t="s">
        <v>74</v>
      </c>
      <c r="Q574" s="1" t="s">
        <v>74</v>
      </c>
      <c r="R574" s="1" t="s">
        <v>74</v>
      </c>
      <c r="S574" s="1" t="s">
        <v>74</v>
      </c>
      <c r="T574" s="1" t="s">
        <v>74</v>
      </c>
      <c r="U574" s="1" t="s">
        <v>74</v>
      </c>
      <c r="V574" s="1" t="s">
        <v>5909</v>
      </c>
      <c r="W574" s="1" t="s">
        <v>74</v>
      </c>
      <c r="X574" s="1" t="s">
        <v>74</v>
      </c>
      <c r="Y574" s="1" t="s">
        <v>74</v>
      </c>
      <c r="Z574" s="1" t="s">
        <v>74</v>
      </c>
      <c r="AA574" s="1" t="s">
        <v>2876</v>
      </c>
      <c r="AB574" s="1" t="s">
        <v>5910</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484</v>
      </c>
      <c r="AP574" s="1" t="s">
        <v>74</v>
      </c>
      <c r="AQ574" s="1" t="s">
        <v>74</v>
      </c>
      <c r="AR574" s="1" t="s">
        <v>74</v>
      </c>
      <c r="AS574" s="1" t="s">
        <v>74</v>
      </c>
      <c r="AT574" s="1" t="s">
        <v>5911</v>
      </c>
      <c r="AU574" s="1">
        <v>2023.0</v>
      </c>
      <c r="AV574" s="1">
        <v>13.0</v>
      </c>
      <c r="AW574" s="1">
        <v>1.0</v>
      </c>
      <c r="AX574" s="1" t="s">
        <v>74</v>
      </c>
      <c r="AY574" s="1" t="s">
        <v>74</v>
      </c>
      <c r="AZ574" s="1" t="s">
        <v>74</v>
      </c>
      <c r="BA574" s="1" t="s">
        <v>74</v>
      </c>
      <c r="BB574" s="1" t="s">
        <v>74</v>
      </c>
      <c r="BC574" s="1" t="s">
        <v>74</v>
      </c>
      <c r="BD574" s="1">
        <v>20643.0</v>
      </c>
      <c r="BE574" s="1" t="s">
        <v>5912</v>
      </c>
      <c r="BF574" s="2" t="str">
        <f>HYPERLINK("http://dx.doi.org/10.1038/s41598-023-46989-x","http://dx.doi.org/10.1038/s41598-023-46989-x")</f>
        <v>http://dx.doi.org/10.1038/s41598-023-46989-x</v>
      </c>
      <c r="BG574" s="1" t="s">
        <v>74</v>
      </c>
      <c r="BH574" s="1" t="s">
        <v>74</v>
      </c>
      <c r="BI574" s="1" t="s">
        <v>74</v>
      </c>
      <c r="BJ574" s="1" t="s">
        <v>74</v>
      </c>
      <c r="BK574" s="1" t="s">
        <v>74</v>
      </c>
      <c r="BL574" s="1" t="s">
        <v>74</v>
      </c>
      <c r="BM574" s="1" t="s">
        <v>74</v>
      </c>
      <c r="BN574" s="1">
        <v>3.8001118E7</v>
      </c>
      <c r="BO574" s="1" t="s">
        <v>74</v>
      </c>
      <c r="BP574" s="1" t="s">
        <v>74</v>
      </c>
      <c r="BQ574" s="1" t="s">
        <v>74</v>
      </c>
      <c r="BR574" s="1" t="s">
        <v>74</v>
      </c>
      <c r="BS574" s="1" t="s">
        <v>5913</v>
      </c>
      <c r="BT574" s="1" t="str">
        <f>HYPERLINK("https%3A%2F%2Fwww.webofscience.com%2Fwos%2Fwoscc%2Ffull-record%2FWOS:001136085000043","View Full Record in Web of Science")</f>
        <v>View Full Record in Web of Science</v>
      </c>
    </row>
    <row r="575" ht="12.75" customHeight="1">
      <c r="A575" s="1" t="s">
        <v>72</v>
      </c>
      <c r="B575" s="1" t="s">
        <v>5914</v>
      </c>
      <c r="C575" s="1" t="s">
        <v>74</v>
      </c>
      <c r="D575" s="1" t="s">
        <v>74</v>
      </c>
      <c r="E575" s="1" t="s">
        <v>74</v>
      </c>
      <c r="F575" s="1" t="s">
        <v>5915</v>
      </c>
      <c r="G575" s="1" t="s">
        <v>74</v>
      </c>
      <c r="H575" s="1" t="s">
        <v>74</v>
      </c>
      <c r="I575" s="1" t="s">
        <v>5916</v>
      </c>
      <c r="J575" s="1" t="s">
        <v>2036</v>
      </c>
      <c r="K575" s="1" t="s">
        <v>74</v>
      </c>
      <c r="L575" s="1" t="s">
        <v>74</v>
      </c>
      <c r="M575" s="1" t="s">
        <v>74</v>
      </c>
      <c r="N575" s="1" t="s">
        <v>74</v>
      </c>
      <c r="O575" s="1" t="s">
        <v>74</v>
      </c>
      <c r="P575" s="1" t="s">
        <v>74</v>
      </c>
      <c r="Q575" s="1" t="s">
        <v>74</v>
      </c>
      <c r="R575" s="1" t="s">
        <v>74</v>
      </c>
      <c r="S575" s="1" t="s">
        <v>74</v>
      </c>
      <c r="T575" s="1" t="s">
        <v>74</v>
      </c>
      <c r="U575" s="1" t="s">
        <v>74</v>
      </c>
      <c r="V575" s="1" t="s">
        <v>5917</v>
      </c>
      <c r="W575" s="1" t="s">
        <v>74</v>
      </c>
      <c r="X575" s="1" t="s">
        <v>74</v>
      </c>
      <c r="Y575" s="1" t="s">
        <v>74</v>
      </c>
      <c r="Z575" s="1" t="s">
        <v>74</v>
      </c>
      <c r="AA575" s="1" t="s">
        <v>5918</v>
      </c>
      <c r="AB575" s="1" t="s">
        <v>5919</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2040</v>
      </c>
      <c r="AP575" s="1" t="s">
        <v>74</v>
      </c>
      <c r="AQ575" s="1" t="s">
        <v>74</v>
      </c>
      <c r="AR575" s="1" t="s">
        <v>74</v>
      </c>
      <c r="AS575" s="1" t="s">
        <v>74</v>
      </c>
      <c r="AT575" s="1" t="s">
        <v>1566</v>
      </c>
      <c r="AU575" s="1">
        <v>2021.0</v>
      </c>
      <c r="AV575" s="1">
        <v>9.0</v>
      </c>
      <c r="AW575" s="1" t="s">
        <v>74</v>
      </c>
      <c r="AX575" s="1" t="s">
        <v>74</v>
      </c>
      <c r="AY575" s="1" t="s">
        <v>74</v>
      </c>
      <c r="AZ575" s="1" t="s">
        <v>74</v>
      </c>
      <c r="BA575" s="1" t="s">
        <v>74</v>
      </c>
      <c r="BB575" s="1" t="s">
        <v>74</v>
      </c>
      <c r="BC575" s="1" t="s">
        <v>74</v>
      </c>
      <c r="BD575" s="1">
        <v>767421.0</v>
      </c>
      <c r="BE575" s="1" t="s">
        <v>5920</v>
      </c>
      <c r="BF575" s="2" t="str">
        <f>HYPERLINK("http://dx.doi.org/10.3389/fchem.2021.767421","http://dx.doi.org/10.3389/fchem.2021.767421")</f>
        <v>http://dx.doi.org/10.3389/fchem.2021.767421</v>
      </c>
      <c r="BG575" s="1" t="s">
        <v>74</v>
      </c>
      <c r="BH575" s="1" t="s">
        <v>74</v>
      </c>
      <c r="BI575" s="1" t="s">
        <v>74</v>
      </c>
      <c r="BJ575" s="1" t="s">
        <v>74</v>
      </c>
      <c r="BK575" s="1" t="s">
        <v>74</v>
      </c>
      <c r="BL575" s="1" t="s">
        <v>74</v>
      </c>
      <c r="BM575" s="1" t="s">
        <v>74</v>
      </c>
      <c r="BN575" s="1">
        <v>3.4869208E7</v>
      </c>
      <c r="BO575" s="1" t="s">
        <v>74</v>
      </c>
      <c r="BP575" s="1" t="s">
        <v>74</v>
      </c>
      <c r="BQ575" s="1" t="s">
        <v>74</v>
      </c>
      <c r="BR575" s="1" t="s">
        <v>74</v>
      </c>
      <c r="BS575" s="1" t="s">
        <v>5921</v>
      </c>
      <c r="BT575" s="1" t="str">
        <f>HYPERLINK("https%3A%2F%2Fwww.webofscience.com%2Fwos%2Fwoscc%2Ffull-record%2FWOS:000726053200001","View Full Record in Web of Science")</f>
        <v>View Full Record in Web of Science</v>
      </c>
    </row>
    <row r="576" ht="12.75" customHeight="1">
      <c r="A576" s="1" t="s">
        <v>72</v>
      </c>
      <c r="B576" s="1" t="s">
        <v>5922</v>
      </c>
      <c r="C576" s="1" t="s">
        <v>74</v>
      </c>
      <c r="D576" s="1" t="s">
        <v>74</v>
      </c>
      <c r="E576" s="1" t="s">
        <v>74</v>
      </c>
      <c r="F576" s="1" t="s">
        <v>5923</v>
      </c>
      <c r="G576" s="1" t="s">
        <v>74</v>
      </c>
      <c r="H576" s="1" t="s">
        <v>74</v>
      </c>
      <c r="I576" s="1" t="s">
        <v>5924</v>
      </c>
      <c r="J576" s="1" t="s">
        <v>2255</v>
      </c>
      <c r="K576" s="1" t="s">
        <v>74</v>
      </c>
      <c r="L576" s="1" t="s">
        <v>74</v>
      </c>
      <c r="M576" s="1" t="s">
        <v>74</v>
      </c>
      <c r="N576" s="1" t="s">
        <v>74</v>
      </c>
      <c r="O576" s="1" t="s">
        <v>74</v>
      </c>
      <c r="P576" s="1" t="s">
        <v>74</v>
      </c>
      <c r="Q576" s="1" t="s">
        <v>74</v>
      </c>
      <c r="R576" s="1" t="s">
        <v>74</v>
      </c>
      <c r="S576" s="1" t="s">
        <v>74</v>
      </c>
      <c r="T576" s="1" t="s">
        <v>74</v>
      </c>
      <c r="U576" s="1" t="s">
        <v>74</v>
      </c>
      <c r="V576" s="1" t="s">
        <v>5925</v>
      </c>
      <c r="W576" s="1" t="s">
        <v>74</v>
      </c>
      <c r="X576" s="1" t="s">
        <v>74</v>
      </c>
      <c r="Y576" s="1" t="s">
        <v>74</v>
      </c>
      <c r="Z576" s="1" t="s">
        <v>74</v>
      </c>
      <c r="AA576" s="1" t="s">
        <v>5926</v>
      </c>
      <c r="AB576" s="1" t="s">
        <v>5927</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2259</v>
      </c>
      <c r="AP576" s="1" t="s">
        <v>2260</v>
      </c>
      <c r="AQ576" s="1" t="s">
        <v>74</v>
      </c>
      <c r="AR576" s="1" t="s">
        <v>74</v>
      </c>
      <c r="AS576" s="1" t="s">
        <v>74</v>
      </c>
      <c r="AT576" s="1" t="s">
        <v>2289</v>
      </c>
      <c r="AU576" s="1">
        <v>2024.0</v>
      </c>
      <c r="AV576" s="1">
        <v>50.0</v>
      </c>
      <c r="AW576" s="1">
        <v>21.0</v>
      </c>
      <c r="AX576" s="1" t="s">
        <v>462</v>
      </c>
      <c r="AY576" s="1" t="s">
        <v>74</v>
      </c>
      <c r="AZ576" s="1" t="s">
        <v>74</v>
      </c>
      <c r="BA576" s="1" t="s">
        <v>74</v>
      </c>
      <c r="BB576" s="1">
        <v>43542.0</v>
      </c>
      <c r="BC576" s="1">
        <v>43549.0</v>
      </c>
      <c r="BD576" s="1" t="s">
        <v>74</v>
      </c>
      <c r="BE576" s="1" t="s">
        <v>5928</v>
      </c>
      <c r="BF576" s="2" t="str">
        <f>HYPERLINK("http://dx.doi.org/10.1016/j.ceramint.2024.08.206","http://dx.doi.org/10.1016/j.ceramint.2024.08.206")</f>
        <v>http://dx.doi.org/10.1016/j.ceramint.2024.08.206</v>
      </c>
      <c r="BG576" s="1" t="s">
        <v>74</v>
      </c>
      <c r="BH576" s="1" t="s">
        <v>428</v>
      </c>
      <c r="BI576" s="1" t="s">
        <v>74</v>
      </c>
      <c r="BJ576" s="1" t="s">
        <v>74</v>
      </c>
      <c r="BK576" s="1" t="s">
        <v>74</v>
      </c>
      <c r="BL576" s="1" t="s">
        <v>74</v>
      </c>
      <c r="BM576" s="1" t="s">
        <v>74</v>
      </c>
      <c r="BN576" s="1" t="s">
        <v>74</v>
      </c>
      <c r="BO576" s="1" t="s">
        <v>74</v>
      </c>
      <c r="BP576" s="1" t="s">
        <v>74</v>
      </c>
      <c r="BQ576" s="1" t="s">
        <v>74</v>
      </c>
      <c r="BR576" s="1" t="s">
        <v>74</v>
      </c>
      <c r="BS576" s="1" t="s">
        <v>5929</v>
      </c>
      <c r="BT576" s="1" t="str">
        <f>HYPERLINK("https%3A%2F%2Fwww.webofscience.com%2Fwos%2Fwoscc%2Ffull-record%2FWOS:001329254700001","View Full Record in Web of Science")</f>
        <v>View Full Record in Web of Science</v>
      </c>
    </row>
    <row r="577" ht="12.75" customHeight="1">
      <c r="A577" s="1" t="s">
        <v>72</v>
      </c>
      <c r="B577" s="1" t="s">
        <v>5930</v>
      </c>
      <c r="C577" s="1" t="s">
        <v>74</v>
      </c>
      <c r="D577" s="1" t="s">
        <v>74</v>
      </c>
      <c r="E577" s="1" t="s">
        <v>74</v>
      </c>
      <c r="F577" s="1" t="s">
        <v>5931</v>
      </c>
      <c r="G577" s="1" t="s">
        <v>74</v>
      </c>
      <c r="H577" s="1" t="s">
        <v>74</v>
      </c>
      <c r="I577" s="1" t="s">
        <v>5932</v>
      </c>
      <c r="J577" s="1" t="s">
        <v>3899</v>
      </c>
      <c r="K577" s="1" t="s">
        <v>74</v>
      </c>
      <c r="L577" s="1" t="s">
        <v>74</v>
      </c>
      <c r="M577" s="1" t="s">
        <v>74</v>
      </c>
      <c r="N577" s="1" t="s">
        <v>74</v>
      </c>
      <c r="O577" s="1" t="s">
        <v>74</v>
      </c>
      <c r="P577" s="1" t="s">
        <v>74</v>
      </c>
      <c r="Q577" s="1" t="s">
        <v>74</v>
      </c>
      <c r="R577" s="1" t="s">
        <v>74</v>
      </c>
      <c r="S577" s="1" t="s">
        <v>74</v>
      </c>
      <c r="T577" s="1" t="s">
        <v>74</v>
      </c>
      <c r="U577" s="1" t="s">
        <v>74</v>
      </c>
      <c r="V577" s="1" t="s">
        <v>5933</v>
      </c>
      <c r="W577" s="1" t="s">
        <v>74</v>
      </c>
      <c r="X577" s="1" t="s">
        <v>74</v>
      </c>
      <c r="Y577" s="1" t="s">
        <v>74</v>
      </c>
      <c r="Z577" s="1" t="s">
        <v>74</v>
      </c>
      <c r="AA577" s="1" t="s">
        <v>5934</v>
      </c>
      <c r="AB577" s="1" t="s">
        <v>5935</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3902</v>
      </c>
      <c r="AP577" s="1" t="s">
        <v>3903</v>
      </c>
      <c r="AQ577" s="1" t="s">
        <v>74</v>
      </c>
      <c r="AR577" s="1" t="s">
        <v>74</v>
      </c>
      <c r="AS577" s="1" t="s">
        <v>74</v>
      </c>
      <c r="AT577" s="1" t="s">
        <v>202</v>
      </c>
      <c r="AU577" s="1">
        <v>2024.0</v>
      </c>
      <c r="AV577" s="1">
        <v>269.0</v>
      </c>
      <c r="AW577" s="1" t="s">
        <v>74</v>
      </c>
      <c r="AX577" s="1">
        <v>2.0</v>
      </c>
      <c r="AY577" s="1" t="s">
        <v>74</v>
      </c>
      <c r="AZ577" s="1" t="s">
        <v>74</v>
      </c>
      <c r="BA577" s="1" t="s">
        <v>74</v>
      </c>
      <c r="BB577" s="1" t="s">
        <v>74</v>
      </c>
      <c r="BC577" s="1" t="s">
        <v>74</v>
      </c>
      <c r="BD577" s="1">
        <v>132160.0</v>
      </c>
      <c r="BE577" s="1" t="s">
        <v>5936</v>
      </c>
      <c r="BF577" s="2" t="str">
        <f>HYPERLINK("http://dx.doi.org/10.1016/j.ijbiomac.2024.132160","http://dx.doi.org/10.1016/j.ijbiomac.2024.132160")</f>
        <v>http://dx.doi.org/10.1016/j.ijbiomac.2024.132160</v>
      </c>
      <c r="BG577" s="1" t="s">
        <v>74</v>
      </c>
      <c r="BH577" s="1" t="s">
        <v>301</v>
      </c>
      <c r="BI577" s="1" t="s">
        <v>74</v>
      </c>
      <c r="BJ577" s="1" t="s">
        <v>74</v>
      </c>
      <c r="BK577" s="1" t="s">
        <v>74</v>
      </c>
      <c r="BL577" s="1" t="s">
        <v>74</v>
      </c>
      <c r="BM577" s="1" t="s">
        <v>74</v>
      </c>
      <c r="BN577" s="1">
        <v>3.8718995E7</v>
      </c>
      <c r="BO577" s="1" t="s">
        <v>74</v>
      </c>
      <c r="BP577" s="1" t="s">
        <v>74</v>
      </c>
      <c r="BQ577" s="1" t="s">
        <v>74</v>
      </c>
      <c r="BR577" s="1" t="s">
        <v>74</v>
      </c>
      <c r="BS577" s="1" t="s">
        <v>5937</v>
      </c>
      <c r="BT577" s="1" t="str">
        <f>HYPERLINK("https%3A%2F%2Fwww.webofscience.com%2Fwos%2Fwoscc%2Ffull-record%2FWOS:001291600000001","View Full Record in Web of Science")</f>
        <v>View Full Record in Web of Science</v>
      </c>
    </row>
    <row r="578" ht="12.75" customHeight="1">
      <c r="A578" s="1" t="s">
        <v>72</v>
      </c>
      <c r="B578" s="1" t="s">
        <v>5938</v>
      </c>
      <c r="C578" s="1" t="s">
        <v>74</v>
      </c>
      <c r="D578" s="1" t="s">
        <v>74</v>
      </c>
      <c r="E578" s="1" t="s">
        <v>74</v>
      </c>
      <c r="F578" s="1" t="s">
        <v>5939</v>
      </c>
      <c r="G578" s="1" t="s">
        <v>74</v>
      </c>
      <c r="H578" s="1" t="s">
        <v>74</v>
      </c>
      <c r="I578" s="1" t="s">
        <v>5940</v>
      </c>
      <c r="J578" s="1" t="s">
        <v>5941</v>
      </c>
      <c r="K578" s="1" t="s">
        <v>74</v>
      </c>
      <c r="L578" s="1" t="s">
        <v>74</v>
      </c>
      <c r="M578" s="1" t="s">
        <v>74</v>
      </c>
      <c r="N578" s="1" t="s">
        <v>74</v>
      </c>
      <c r="O578" s="1" t="s">
        <v>74</v>
      </c>
      <c r="P578" s="1" t="s">
        <v>74</v>
      </c>
      <c r="Q578" s="1" t="s">
        <v>74</v>
      </c>
      <c r="R578" s="1" t="s">
        <v>74</v>
      </c>
      <c r="S578" s="1" t="s">
        <v>74</v>
      </c>
      <c r="T578" s="1" t="s">
        <v>74</v>
      </c>
      <c r="U578" s="1" t="s">
        <v>74</v>
      </c>
      <c r="V578" s="1" t="s">
        <v>5942</v>
      </c>
      <c r="W578" s="1" t="s">
        <v>74</v>
      </c>
      <c r="X578" s="1" t="s">
        <v>74</v>
      </c>
      <c r="Y578" s="1" t="s">
        <v>74</v>
      </c>
      <c r="Z578" s="1" t="s">
        <v>74</v>
      </c>
      <c r="AA578" s="1" t="s">
        <v>5943</v>
      </c>
      <c r="AB578" s="1" t="s">
        <v>5944</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5945</v>
      </c>
      <c r="AP578" s="1" t="s">
        <v>5946</v>
      </c>
      <c r="AQ578" s="1" t="s">
        <v>74</v>
      </c>
      <c r="AR578" s="1" t="s">
        <v>74</v>
      </c>
      <c r="AS578" s="1" t="s">
        <v>74</v>
      </c>
      <c r="AT578" s="1" t="s">
        <v>106</v>
      </c>
      <c r="AU578" s="1">
        <v>2023.0</v>
      </c>
      <c r="AV578" s="1">
        <v>14.0</v>
      </c>
      <c r="AW578" s="1">
        <v>6.0</v>
      </c>
      <c r="AX578" s="1" t="s">
        <v>74</v>
      </c>
      <c r="AY578" s="1" t="s">
        <v>74</v>
      </c>
      <c r="AZ578" s="1" t="s">
        <v>74</v>
      </c>
      <c r="BA578" s="1" t="s">
        <v>74</v>
      </c>
      <c r="BB578" s="1">
        <v>4204.0</v>
      </c>
      <c r="BC578" s="1">
        <v>4218.0</v>
      </c>
      <c r="BD578" s="1" t="s">
        <v>74</v>
      </c>
      <c r="BE578" s="1" t="s">
        <v>5947</v>
      </c>
      <c r="BF578" s="2" t="str">
        <f>HYPERLINK("http://dx.doi.org/10.1109/TSG.2023.3261569","http://dx.doi.org/10.1109/TSG.2023.3261569")</f>
        <v>http://dx.doi.org/10.1109/TSG.2023.3261569</v>
      </c>
      <c r="BG578" s="1" t="s">
        <v>74</v>
      </c>
      <c r="BH578" s="1" t="s">
        <v>74</v>
      </c>
      <c r="BI578" s="1" t="s">
        <v>74</v>
      </c>
      <c r="BJ578" s="1" t="s">
        <v>74</v>
      </c>
      <c r="BK578" s="1" t="s">
        <v>74</v>
      </c>
      <c r="BL578" s="1" t="s">
        <v>74</v>
      </c>
      <c r="BM578" s="1" t="s">
        <v>74</v>
      </c>
      <c r="BN578" s="1" t="s">
        <v>74</v>
      </c>
      <c r="BO578" s="1" t="s">
        <v>74</v>
      </c>
      <c r="BP578" s="1" t="s">
        <v>74</v>
      </c>
      <c r="BQ578" s="1" t="s">
        <v>74</v>
      </c>
      <c r="BR578" s="1" t="s">
        <v>74</v>
      </c>
      <c r="BS578" s="1" t="s">
        <v>5948</v>
      </c>
      <c r="BT578" s="1" t="str">
        <f>HYPERLINK("https%3A%2F%2Fwww.webofscience.com%2Fwos%2Fwoscc%2Ffull-record%2FWOS:001160583000053","View Full Record in Web of Science")</f>
        <v>View Full Record in Web of Science</v>
      </c>
    </row>
    <row r="579" ht="12.75" customHeight="1">
      <c r="A579" s="1" t="s">
        <v>72</v>
      </c>
      <c r="B579" s="1" t="s">
        <v>5949</v>
      </c>
      <c r="C579" s="1" t="s">
        <v>74</v>
      </c>
      <c r="D579" s="1" t="s">
        <v>74</v>
      </c>
      <c r="E579" s="1" t="s">
        <v>74</v>
      </c>
      <c r="F579" s="1" t="s">
        <v>5950</v>
      </c>
      <c r="G579" s="1" t="s">
        <v>74</v>
      </c>
      <c r="H579" s="1" t="s">
        <v>74</v>
      </c>
      <c r="I579" s="1" t="s">
        <v>5951</v>
      </c>
      <c r="J579" s="1" t="s">
        <v>147</v>
      </c>
      <c r="K579" s="1" t="s">
        <v>74</v>
      </c>
      <c r="L579" s="1" t="s">
        <v>74</v>
      </c>
      <c r="M579" s="1" t="s">
        <v>74</v>
      </c>
      <c r="N579" s="1" t="s">
        <v>74</v>
      </c>
      <c r="O579" s="1" t="s">
        <v>74</v>
      </c>
      <c r="P579" s="1" t="s">
        <v>74</v>
      </c>
      <c r="Q579" s="1" t="s">
        <v>74</v>
      </c>
      <c r="R579" s="1" t="s">
        <v>74</v>
      </c>
      <c r="S579" s="1" t="s">
        <v>74</v>
      </c>
      <c r="T579" s="1" t="s">
        <v>74</v>
      </c>
      <c r="U579" s="1" t="s">
        <v>74</v>
      </c>
      <c r="V579" s="1" t="s">
        <v>5952</v>
      </c>
      <c r="W579" s="1" t="s">
        <v>74</v>
      </c>
      <c r="X579" s="1" t="s">
        <v>74</v>
      </c>
      <c r="Y579" s="1" t="s">
        <v>74</v>
      </c>
      <c r="Z579" s="1" t="s">
        <v>74</v>
      </c>
      <c r="AA579" s="1" t="s">
        <v>5953</v>
      </c>
      <c r="AB579" s="1" t="s">
        <v>5954</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151</v>
      </c>
      <c r="AP579" s="1" t="s">
        <v>74</v>
      </c>
      <c r="AQ579" s="1" t="s">
        <v>74</v>
      </c>
      <c r="AR579" s="1" t="s">
        <v>74</v>
      </c>
      <c r="AS579" s="1" t="s">
        <v>74</v>
      </c>
      <c r="AT579" s="1" t="s">
        <v>5955</v>
      </c>
      <c r="AU579" s="1">
        <v>2023.0</v>
      </c>
      <c r="AV579" s="1">
        <v>18.0</v>
      </c>
      <c r="AW579" s="1">
        <v>8.0</v>
      </c>
      <c r="AX579" s="1" t="s">
        <v>74</v>
      </c>
      <c r="AY579" s="1" t="s">
        <v>74</v>
      </c>
      <c r="AZ579" s="1" t="s">
        <v>74</v>
      </c>
      <c r="BA579" s="1" t="s">
        <v>74</v>
      </c>
      <c r="BB579" s="1" t="s">
        <v>74</v>
      </c>
      <c r="BC579" s="1" t="s">
        <v>74</v>
      </c>
      <c r="BD579" s="1" t="s">
        <v>74</v>
      </c>
      <c r="BE579" s="1" t="s">
        <v>5956</v>
      </c>
      <c r="BF579" s="2" t="str">
        <f>HYPERLINK("http://dx.doi.org/10.1371/journal.pone.0289926","http://dx.doi.org/10.1371/journal.pone.0289926")</f>
        <v>http://dx.doi.org/10.1371/journal.pone.0289926</v>
      </c>
      <c r="BG579" s="1" t="s">
        <v>74</v>
      </c>
      <c r="BH579" s="1" t="s">
        <v>74</v>
      </c>
      <c r="BI579" s="1" t="s">
        <v>74</v>
      </c>
      <c r="BJ579" s="1" t="s">
        <v>74</v>
      </c>
      <c r="BK579" s="1" t="s">
        <v>74</v>
      </c>
      <c r="BL579" s="1" t="s">
        <v>74</v>
      </c>
      <c r="BM579" s="1" t="s">
        <v>74</v>
      </c>
      <c r="BN579" s="1">
        <v>3.7561755E7</v>
      </c>
      <c r="BO579" s="1" t="s">
        <v>74</v>
      </c>
      <c r="BP579" s="1" t="s">
        <v>74</v>
      </c>
      <c r="BQ579" s="1" t="s">
        <v>74</v>
      </c>
      <c r="BR579" s="1" t="s">
        <v>74</v>
      </c>
      <c r="BS579" s="1" t="s">
        <v>5957</v>
      </c>
      <c r="BT579" s="1" t="str">
        <f>HYPERLINK("https%3A%2F%2Fwww.webofscience.com%2Fwos%2Fwoscc%2Ffull-record%2FWOS:001051741800099","View Full Record in Web of Science")</f>
        <v>View Full Record in Web of Science</v>
      </c>
    </row>
    <row r="580" ht="12.75" customHeight="1">
      <c r="A580" s="1" t="s">
        <v>72</v>
      </c>
      <c r="B580" s="1" t="s">
        <v>5958</v>
      </c>
      <c r="C580" s="1" t="s">
        <v>74</v>
      </c>
      <c r="D580" s="1" t="s">
        <v>74</v>
      </c>
      <c r="E580" s="1" t="s">
        <v>74</v>
      </c>
      <c r="F580" s="1" t="s">
        <v>5959</v>
      </c>
      <c r="G580" s="1" t="s">
        <v>74</v>
      </c>
      <c r="H580" s="1" t="s">
        <v>74</v>
      </c>
      <c r="I580" s="1" t="s">
        <v>5960</v>
      </c>
      <c r="J580" s="1" t="s">
        <v>5961</v>
      </c>
      <c r="K580" s="1" t="s">
        <v>74</v>
      </c>
      <c r="L580" s="1" t="s">
        <v>74</v>
      </c>
      <c r="M580" s="1" t="s">
        <v>74</v>
      </c>
      <c r="N580" s="1" t="s">
        <v>74</v>
      </c>
      <c r="O580" s="1" t="s">
        <v>74</v>
      </c>
      <c r="P580" s="1" t="s">
        <v>74</v>
      </c>
      <c r="Q580" s="1" t="s">
        <v>74</v>
      </c>
      <c r="R580" s="1" t="s">
        <v>74</v>
      </c>
      <c r="S580" s="1" t="s">
        <v>74</v>
      </c>
      <c r="T580" s="1" t="s">
        <v>74</v>
      </c>
      <c r="U580" s="1" t="s">
        <v>74</v>
      </c>
      <c r="V580" s="1" t="s">
        <v>5962</v>
      </c>
      <c r="W580" s="1" t="s">
        <v>74</v>
      </c>
      <c r="X580" s="1" t="s">
        <v>74</v>
      </c>
      <c r="Y580" s="1" t="s">
        <v>74</v>
      </c>
      <c r="Z580" s="1" t="s">
        <v>74</v>
      </c>
      <c r="AA580" s="1" t="s">
        <v>5963</v>
      </c>
      <c r="AB580" s="1" t="s">
        <v>5964</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5965</v>
      </c>
      <c r="AP580" s="1" t="s">
        <v>5966</v>
      </c>
      <c r="AQ580" s="1" t="s">
        <v>74</v>
      </c>
      <c r="AR580" s="1" t="s">
        <v>74</v>
      </c>
      <c r="AS580" s="1" t="s">
        <v>74</v>
      </c>
      <c r="AT580" s="1" t="s">
        <v>5967</v>
      </c>
      <c r="AU580" s="1">
        <v>2022.0</v>
      </c>
      <c r="AV580" s="1">
        <v>58.0</v>
      </c>
      <c r="AW580" s="1" t="s">
        <v>5968</v>
      </c>
      <c r="AX580" s="1" t="s">
        <v>74</v>
      </c>
      <c r="AY580" s="1" t="s">
        <v>74</v>
      </c>
      <c r="AZ580" s="1" t="s">
        <v>74</v>
      </c>
      <c r="BA580" s="1" t="s">
        <v>74</v>
      </c>
      <c r="BB580" s="1">
        <v>316.0</v>
      </c>
      <c r="BC580" s="1">
        <v>326.0</v>
      </c>
      <c r="BD580" s="1" t="s">
        <v>74</v>
      </c>
      <c r="BE580" s="1" t="s">
        <v>5969</v>
      </c>
      <c r="BF580" s="2" t="str">
        <f>HYPERLINK("http://dx.doi.org/10.1080/10256016.2022.2106225","http://dx.doi.org/10.1080/10256016.2022.2106225")</f>
        <v>http://dx.doi.org/10.1080/10256016.2022.2106225</v>
      </c>
      <c r="BG580" s="1" t="s">
        <v>74</v>
      </c>
      <c r="BH580" s="1" t="s">
        <v>2291</v>
      </c>
      <c r="BI580" s="1" t="s">
        <v>74</v>
      </c>
      <c r="BJ580" s="1" t="s">
        <v>74</v>
      </c>
      <c r="BK580" s="1" t="s">
        <v>74</v>
      </c>
      <c r="BL580" s="1" t="s">
        <v>74</v>
      </c>
      <c r="BM580" s="1" t="s">
        <v>74</v>
      </c>
      <c r="BN580" s="1">
        <v>3.5968628E7</v>
      </c>
      <c r="BO580" s="1" t="s">
        <v>74</v>
      </c>
      <c r="BP580" s="1" t="s">
        <v>74</v>
      </c>
      <c r="BQ580" s="1" t="s">
        <v>74</v>
      </c>
      <c r="BR580" s="1" t="s">
        <v>74</v>
      </c>
      <c r="BS580" s="1" t="s">
        <v>5970</v>
      </c>
      <c r="BT580" s="1" t="str">
        <f>HYPERLINK("https%3A%2F%2Fwww.webofscience.com%2Fwos%2Fwoscc%2Ffull-record%2FWOS:000840396100001","View Full Record in Web of Science")</f>
        <v>View Full Record in Web of Science</v>
      </c>
    </row>
    <row r="581" ht="12.75" customHeight="1">
      <c r="A581" s="1" t="s">
        <v>72</v>
      </c>
      <c r="B581" s="1" t="s">
        <v>5971</v>
      </c>
      <c r="C581" s="1" t="s">
        <v>74</v>
      </c>
      <c r="D581" s="1" t="s">
        <v>74</v>
      </c>
      <c r="E581" s="1" t="s">
        <v>74</v>
      </c>
      <c r="F581" s="1" t="s">
        <v>5972</v>
      </c>
      <c r="G581" s="1" t="s">
        <v>74</v>
      </c>
      <c r="H581" s="1" t="s">
        <v>74</v>
      </c>
      <c r="I581" s="1" t="s">
        <v>5973</v>
      </c>
      <c r="J581" s="1" t="s">
        <v>5974</v>
      </c>
      <c r="K581" s="1" t="s">
        <v>74</v>
      </c>
      <c r="L581" s="1" t="s">
        <v>74</v>
      </c>
      <c r="M581" s="1" t="s">
        <v>74</v>
      </c>
      <c r="N581" s="1" t="s">
        <v>74</v>
      </c>
      <c r="O581" s="1" t="s">
        <v>74</v>
      </c>
      <c r="P581" s="1" t="s">
        <v>74</v>
      </c>
      <c r="Q581" s="1" t="s">
        <v>74</v>
      </c>
      <c r="R581" s="1" t="s">
        <v>74</v>
      </c>
      <c r="S581" s="1" t="s">
        <v>74</v>
      </c>
      <c r="T581" s="1" t="s">
        <v>74</v>
      </c>
      <c r="U581" s="1" t="s">
        <v>74</v>
      </c>
      <c r="V581" s="1" t="s">
        <v>5975</v>
      </c>
      <c r="W581" s="1" t="s">
        <v>74</v>
      </c>
      <c r="X581" s="1" t="s">
        <v>74</v>
      </c>
      <c r="Y581" s="1" t="s">
        <v>74</v>
      </c>
      <c r="Z581" s="1" t="s">
        <v>74</v>
      </c>
      <c r="AA581" s="1" t="s">
        <v>5976</v>
      </c>
      <c r="AB581" s="1" t="s">
        <v>5977</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5978</v>
      </c>
      <c r="AP581" s="1" t="s">
        <v>5979</v>
      </c>
      <c r="AQ581" s="1" t="s">
        <v>74</v>
      </c>
      <c r="AR581" s="1" t="s">
        <v>74</v>
      </c>
      <c r="AS581" s="1" t="s">
        <v>74</v>
      </c>
      <c r="AT581" s="1" t="s">
        <v>2951</v>
      </c>
      <c r="AU581" s="1">
        <v>2015.0</v>
      </c>
      <c r="AV581" s="1">
        <v>17.0</v>
      </c>
      <c r="AW581" s="1">
        <v>1.0</v>
      </c>
      <c r="AX581" s="1" t="s">
        <v>74</v>
      </c>
      <c r="AY581" s="1" t="s">
        <v>74</v>
      </c>
      <c r="AZ581" s="1" t="s">
        <v>74</v>
      </c>
      <c r="BA581" s="1" t="s">
        <v>74</v>
      </c>
      <c r="BB581" s="1" t="s">
        <v>74</v>
      </c>
      <c r="BC581" s="1" t="s">
        <v>74</v>
      </c>
      <c r="BD581" s="1">
        <v>24.0</v>
      </c>
      <c r="BE581" s="1" t="s">
        <v>5980</v>
      </c>
      <c r="BF581" s="2" t="str">
        <f>HYPERLINK("http://dx.doi.org/10.1007/s11051-014-2837-9","http://dx.doi.org/10.1007/s11051-014-2837-9")</f>
        <v>http://dx.doi.org/10.1007/s11051-014-2837-9</v>
      </c>
      <c r="BG581" s="1" t="s">
        <v>74</v>
      </c>
      <c r="BH581" s="1" t="s">
        <v>74</v>
      </c>
      <c r="BI581" s="1" t="s">
        <v>74</v>
      </c>
      <c r="BJ581" s="1" t="s">
        <v>74</v>
      </c>
      <c r="BK581" s="1" t="s">
        <v>74</v>
      </c>
      <c r="BL581" s="1" t="s">
        <v>74</v>
      </c>
      <c r="BM581" s="1" t="s">
        <v>74</v>
      </c>
      <c r="BN581" s="1" t="s">
        <v>74</v>
      </c>
      <c r="BO581" s="1" t="s">
        <v>74</v>
      </c>
      <c r="BP581" s="1" t="s">
        <v>74</v>
      </c>
      <c r="BQ581" s="1" t="s">
        <v>74</v>
      </c>
      <c r="BR581" s="1" t="s">
        <v>74</v>
      </c>
      <c r="BS581" s="1" t="s">
        <v>5981</v>
      </c>
      <c r="BT581" s="1" t="str">
        <f>HYPERLINK("https%3A%2F%2Fwww.webofscience.com%2Fwos%2Fwoscc%2Ffull-record%2FWOS:000352165600007","View Full Record in Web of Science")</f>
        <v>View Full Record in Web of Science</v>
      </c>
    </row>
    <row r="582" ht="12.75" customHeight="1">
      <c r="A582" s="1" t="s">
        <v>72</v>
      </c>
      <c r="B582" s="1" t="s">
        <v>5982</v>
      </c>
      <c r="C582" s="1" t="s">
        <v>74</v>
      </c>
      <c r="D582" s="1" t="s">
        <v>74</v>
      </c>
      <c r="E582" s="1" t="s">
        <v>74</v>
      </c>
      <c r="F582" s="1" t="s">
        <v>5983</v>
      </c>
      <c r="G582" s="1" t="s">
        <v>74</v>
      </c>
      <c r="H582" s="1" t="s">
        <v>74</v>
      </c>
      <c r="I582" s="1" t="s">
        <v>5984</v>
      </c>
      <c r="J582" s="1" t="s">
        <v>5985</v>
      </c>
      <c r="K582" s="1" t="s">
        <v>74</v>
      </c>
      <c r="L582" s="1" t="s">
        <v>74</v>
      </c>
      <c r="M582" s="1" t="s">
        <v>74</v>
      </c>
      <c r="N582" s="1" t="s">
        <v>74</v>
      </c>
      <c r="O582" s="1" t="s">
        <v>74</v>
      </c>
      <c r="P582" s="1" t="s">
        <v>74</v>
      </c>
      <c r="Q582" s="1" t="s">
        <v>74</v>
      </c>
      <c r="R582" s="1" t="s">
        <v>74</v>
      </c>
      <c r="S582" s="1" t="s">
        <v>74</v>
      </c>
      <c r="T582" s="1" t="s">
        <v>74</v>
      </c>
      <c r="U582" s="1" t="s">
        <v>74</v>
      </c>
      <c r="V582" s="1" t="s">
        <v>5986</v>
      </c>
      <c r="W582" s="1" t="s">
        <v>74</v>
      </c>
      <c r="X582" s="1" t="s">
        <v>74</v>
      </c>
      <c r="Y582" s="1" t="s">
        <v>74</v>
      </c>
      <c r="Z582" s="1" t="s">
        <v>74</v>
      </c>
      <c r="AA582" s="1" t="s">
        <v>5987</v>
      </c>
      <c r="AB582" s="1" t="s">
        <v>5988</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74</v>
      </c>
      <c r="AP582" s="1" t="s">
        <v>5989</v>
      </c>
      <c r="AQ582" s="1" t="s">
        <v>74</v>
      </c>
      <c r="AR582" s="1" t="s">
        <v>74</v>
      </c>
      <c r="AS582" s="1" t="s">
        <v>74</v>
      </c>
      <c r="AT582" s="1" t="s">
        <v>4826</v>
      </c>
      <c r="AU582" s="1">
        <v>2024.0</v>
      </c>
      <c r="AV582" s="1">
        <v>11.0</v>
      </c>
      <c r="AW582" s="1">
        <v>1.0</v>
      </c>
      <c r="AX582" s="1" t="s">
        <v>74</v>
      </c>
      <c r="AY582" s="1" t="s">
        <v>74</v>
      </c>
      <c r="AZ582" s="1" t="s">
        <v>74</v>
      </c>
      <c r="BA582" s="1" t="s">
        <v>74</v>
      </c>
      <c r="BB582" s="1" t="s">
        <v>74</v>
      </c>
      <c r="BC582" s="1" t="s">
        <v>74</v>
      </c>
      <c r="BD582" s="1">
        <v>1383.0</v>
      </c>
      <c r="BE582" s="1" t="s">
        <v>5990</v>
      </c>
      <c r="BF582" s="2" t="str">
        <f>HYPERLINK("http://dx.doi.org/10.1038/s41597-024-04238-4","http://dx.doi.org/10.1038/s41597-024-04238-4")</f>
        <v>http://dx.doi.org/10.1038/s41597-024-04238-4</v>
      </c>
      <c r="BG582" s="1" t="s">
        <v>74</v>
      </c>
      <c r="BH582" s="1" t="s">
        <v>74</v>
      </c>
      <c r="BI582" s="1" t="s">
        <v>74</v>
      </c>
      <c r="BJ582" s="1" t="s">
        <v>74</v>
      </c>
      <c r="BK582" s="1" t="s">
        <v>74</v>
      </c>
      <c r="BL582" s="1" t="s">
        <v>74</v>
      </c>
      <c r="BM582" s="1" t="s">
        <v>74</v>
      </c>
      <c r="BN582" s="1">
        <v>3.9695236E7</v>
      </c>
      <c r="BO582" s="1" t="s">
        <v>74</v>
      </c>
      <c r="BP582" s="1" t="s">
        <v>74</v>
      </c>
      <c r="BQ582" s="1" t="s">
        <v>74</v>
      </c>
      <c r="BR582" s="1" t="s">
        <v>74</v>
      </c>
      <c r="BS582" s="1" t="s">
        <v>5991</v>
      </c>
      <c r="BT582" s="1" t="str">
        <f>HYPERLINK("https%3A%2F%2Fwww.webofscience.com%2Fwos%2Fwoscc%2Ffull-record%2FWOS:001381023800030","View Full Record in Web of Science")</f>
        <v>View Full Record in Web of Science</v>
      </c>
    </row>
    <row r="583" ht="12.75" customHeight="1">
      <c r="A583" s="1" t="s">
        <v>72</v>
      </c>
      <c r="B583" s="1" t="s">
        <v>5992</v>
      </c>
      <c r="C583" s="1" t="s">
        <v>74</v>
      </c>
      <c r="D583" s="1" t="s">
        <v>74</v>
      </c>
      <c r="E583" s="1" t="s">
        <v>74</v>
      </c>
      <c r="F583" s="1" t="s">
        <v>5993</v>
      </c>
      <c r="G583" s="1" t="s">
        <v>74</v>
      </c>
      <c r="H583" s="1" t="s">
        <v>74</v>
      </c>
      <c r="I583" s="1" t="s">
        <v>5994</v>
      </c>
      <c r="J583" s="1" t="s">
        <v>1121</v>
      </c>
      <c r="K583" s="1" t="s">
        <v>74</v>
      </c>
      <c r="L583" s="1" t="s">
        <v>74</v>
      </c>
      <c r="M583" s="1" t="s">
        <v>74</v>
      </c>
      <c r="N583" s="1" t="s">
        <v>74</v>
      </c>
      <c r="O583" s="1" t="s">
        <v>74</v>
      </c>
      <c r="P583" s="1" t="s">
        <v>74</v>
      </c>
      <c r="Q583" s="1" t="s">
        <v>74</v>
      </c>
      <c r="R583" s="1" t="s">
        <v>74</v>
      </c>
      <c r="S583" s="1" t="s">
        <v>74</v>
      </c>
      <c r="T583" s="1" t="s">
        <v>74</v>
      </c>
      <c r="U583" s="1" t="s">
        <v>74</v>
      </c>
      <c r="V583" s="1" t="s">
        <v>74</v>
      </c>
      <c r="W583" s="1" t="s">
        <v>74</v>
      </c>
      <c r="X583" s="1" t="s">
        <v>74</v>
      </c>
      <c r="Y583" s="1" t="s">
        <v>74</v>
      </c>
      <c r="Z583" s="1" t="s">
        <v>74</v>
      </c>
      <c r="AA583" s="1" t="s">
        <v>5995</v>
      </c>
      <c r="AB583" s="1" t="s">
        <v>5996</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74</v>
      </c>
      <c r="AP583" s="1" t="s">
        <v>1125</v>
      </c>
      <c r="AQ583" s="1" t="s">
        <v>74</v>
      </c>
      <c r="AR583" s="1" t="s">
        <v>74</v>
      </c>
      <c r="AS583" s="1" t="s">
        <v>74</v>
      </c>
      <c r="AT583" s="1" t="s">
        <v>2607</v>
      </c>
      <c r="AU583" s="1">
        <v>2023.0</v>
      </c>
      <c r="AV583" s="1">
        <v>14.0</v>
      </c>
      <c r="AW583" s="1" t="s">
        <v>74</v>
      </c>
      <c r="AX583" s="1" t="s">
        <v>74</v>
      </c>
      <c r="AY583" s="1" t="s">
        <v>74</v>
      </c>
      <c r="AZ583" s="1" t="s">
        <v>74</v>
      </c>
      <c r="BA583" s="1" t="s">
        <v>74</v>
      </c>
      <c r="BB583" s="1" t="s">
        <v>74</v>
      </c>
      <c r="BC583" s="1" t="s">
        <v>74</v>
      </c>
      <c r="BD583" s="1">
        <v>1191277.0</v>
      </c>
      <c r="BE583" s="1" t="s">
        <v>5997</v>
      </c>
      <c r="BF583" s="2" t="str">
        <f>HYPERLINK("http://dx.doi.org/10.3389/fphys.2023.1191277","http://dx.doi.org/10.3389/fphys.2023.1191277")</f>
        <v>http://dx.doi.org/10.3389/fphys.2023.1191277</v>
      </c>
      <c r="BG583" s="1" t="s">
        <v>74</v>
      </c>
      <c r="BH583" s="1" t="s">
        <v>74</v>
      </c>
      <c r="BI583" s="1" t="s">
        <v>74</v>
      </c>
      <c r="BJ583" s="1" t="s">
        <v>74</v>
      </c>
      <c r="BK583" s="1" t="s">
        <v>74</v>
      </c>
      <c r="BL583" s="1" t="s">
        <v>74</v>
      </c>
      <c r="BM583" s="1" t="s">
        <v>74</v>
      </c>
      <c r="BN583" s="1" t="s">
        <v>74</v>
      </c>
      <c r="BO583" s="1" t="s">
        <v>74</v>
      </c>
      <c r="BP583" s="1" t="s">
        <v>74</v>
      </c>
      <c r="BQ583" s="1" t="s">
        <v>74</v>
      </c>
      <c r="BR583" s="1" t="s">
        <v>74</v>
      </c>
      <c r="BS583" s="1" t="s">
        <v>5998</v>
      </c>
      <c r="BT583" s="1" t="str">
        <f>HYPERLINK("https%3A%2F%2Fwww.webofscience.com%2Fwos%2Fwoscc%2Ffull-record%2FWOS:000971737500001","View Full Record in Web of Science")</f>
        <v>View Full Record in Web of Science</v>
      </c>
    </row>
    <row r="584" ht="12.75" customHeight="1">
      <c r="A584" s="1" t="s">
        <v>72</v>
      </c>
      <c r="B584" s="1" t="s">
        <v>5999</v>
      </c>
      <c r="C584" s="1" t="s">
        <v>74</v>
      </c>
      <c r="D584" s="1" t="s">
        <v>74</v>
      </c>
      <c r="E584" s="1" t="s">
        <v>74</v>
      </c>
      <c r="F584" s="1" t="s">
        <v>6000</v>
      </c>
      <c r="G584" s="1" t="s">
        <v>74</v>
      </c>
      <c r="H584" s="1" t="s">
        <v>74</v>
      </c>
      <c r="I584" s="1" t="s">
        <v>6001</v>
      </c>
      <c r="J584" s="1" t="s">
        <v>2646</v>
      </c>
      <c r="K584" s="1" t="s">
        <v>74</v>
      </c>
      <c r="L584" s="1" t="s">
        <v>74</v>
      </c>
      <c r="M584" s="1" t="s">
        <v>74</v>
      </c>
      <c r="N584" s="1" t="s">
        <v>74</v>
      </c>
      <c r="O584" s="1" t="s">
        <v>74</v>
      </c>
      <c r="P584" s="1" t="s">
        <v>74</v>
      </c>
      <c r="Q584" s="1" t="s">
        <v>74</v>
      </c>
      <c r="R584" s="1" t="s">
        <v>74</v>
      </c>
      <c r="S584" s="1" t="s">
        <v>74</v>
      </c>
      <c r="T584" s="1" t="s">
        <v>74</v>
      </c>
      <c r="U584" s="1" t="s">
        <v>74</v>
      </c>
      <c r="V584" s="1" t="s">
        <v>6002</v>
      </c>
      <c r="W584" s="1" t="s">
        <v>74</v>
      </c>
      <c r="X584" s="1" t="s">
        <v>74</v>
      </c>
      <c r="Y584" s="1" t="s">
        <v>74</v>
      </c>
      <c r="Z584" s="1" t="s">
        <v>74</v>
      </c>
      <c r="AA584" s="1" t="s">
        <v>6003</v>
      </c>
      <c r="AB584" s="1" t="s">
        <v>6004</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2650</v>
      </c>
      <c r="AP584" s="1" t="s">
        <v>2651</v>
      </c>
      <c r="AQ584" s="1" t="s">
        <v>74</v>
      </c>
      <c r="AR584" s="1" t="s">
        <v>74</v>
      </c>
      <c r="AS584" s="1" t="s">
        <v>74</v>
      </c>
      <c r="AT584" s="1" t="s">
        <v>74</v>
      </c>
      <c r="AU584" s="1">
        <v>2019.0</v>
      </c>
      <c r="AV584" s="1">
        <v>19.0</v>
      </c>
      <c r="AW584" s="1">
        <v>8.0</v>
      </c>
      <c r="AX584" s="1" t="s">
        <v>74</v>
      </c>
      <c r="AY584" s="1" t="s">
        <v>74</v>
      </c>
      <c r="AZ584" s="1" t="s">
        <v>74</v>
      </c>
      <c r="BA584" s="1" t="s">
        <v>74</v>
      </c>
      <c r="BB584" s="1">
        <v>547.0</v>
      </c>
      <c r="BC584" s="1">
        <v>559.0</v>
      </c>
      <c r="BD584" s="1" t="s">
        <v>74</v>
      </c>
      <c r="BE584" s="1" t="s">
        <v>6005</v>
      </c>
      <c r="BF584" s="2" t="str">
        <f>HYPERLINK("http://dx.doi.org/10.2174/1566524019666190709181726","http://dx.doi.org/10.2174/1566524019666190709181726")</f>
        <v>http://dx.doi.org/10.2174/1566524019666190709181726</v>
      </c>
      <c r="BG584" s="1" t="s">
        <v>74</v>
      </c>
      <c r="BH584" s="1" t="s">
        <v>74</v>
      </c>
      <c r="BI584" s="1" t="s">
        <v>74</v>
      </c>
      <c r="BJ584" s="1" t="s">
        <v>74</v>
      </c>
      <c r="BK584" s="1" t="s">
        <v>74</v>
      </c>
      <c r="BL584" s="1" t="s">
        <v>74</v>
      </c>
      <c r="BM584" s="1" t="s">
        <v>74</v>
      </c>
      <c r="BN584" s="1">
        <v>3.1288723E7</v>
      </c>
      <c r="BO584" s="1" t="s">
        <v>74</v>
      </c>
      <c r="BP584" s="1" t="s">
        <v>74</v>
      </c>
      <c r="BQ584" s="1" t="s">
        <v>74</v>
      </c>
      <c r="BR584" s="1" t="s">
        <v>74</v>
      </c>
      <c r="BS584" s="1" t="s">
        <v>6006</v>
      </c>
      <c r="BT584" s="1" t="str">
        <f>HYPERLINK("https%3A%2F%2Fwww.webofscience.com%2Fwos%2Fwoscc%2Ffull-record%2FWOS:000484548900002","View Full Record in Web of Science")</f>
        <v>View Full Record in Web of Science</v>
      </c>
    </row>
    <row r="585" ht="12.75" customHeight="1">
      <c r="A585" s="1" t="s">
        <v>72</v>
      </c>
      <c r="B585" s="1" t="s">
        <v>6007</v>
      </c>
      <c r="C585" s="1" t="s">
        <v>74</v>
      </c>
      <c r="D585" s="1" t="s">
        <v>74</v>
      </c>
      <c r="E585" s="1" t="s">
        <v>74</v>
      </c>
      <c r="F585" s="1" t="s">
        <v>6008</v>
      </c>
      <c r="G585" s="1" t="s">
        <v>74</v>
      </c>
      <c r="H585" s="1" t="s">
        <v>74</v>
      </c>
      <c r="I585" s="1" t="s">
        <v>6009</v>
      </c>
      <c r="J585" s="1" t="s">
        <v>2174</v>
      </c>
      <c r="K585" s="1" t="s">
        <v>74</v>
      </c>
      <c r="L585" s="1" t="s">
        <v>74</v>
      </c>
      <c r="M585" s="1" t="s">
        <v>74</v>
      </c>
      <c r="N585" s="1" t="s">
        <v>74</v>
      </c>
      <c r="O585" s="1" t="s">
        <v>74</v>
      </c>
      <c r="P585" s="1" t="s">
        <v>74</v>
      </c>
      <c r="Q585" s="1" t="s">
        <v>74</v>
      </c>
      <c r="R585" s="1" t="s">
        <v>74</v>
      </c>
      <c r="S585" s="1" t="s">
        <v>74</v>
      </c>
      <c r="T585" s="1" t="s">
        <v>74</v>
      </c>
      <c r="U585" s="1" t="s">
        <v>74</v>
      </c>
      <c r="V585" s="1" t="s">
        <v>6010</v>
      </c>
      <c r="W585" s="1" t="s">
        <v>74</v>
      </c>
      <c r="X585" s="1" t="s">
        <v>74</v>
      </c>
      <c r="Y585" s="1" t="s">
        <v>74</v>
      </c>
      <c r="Z585" s="1" t="s">
        <v>74</v>
      </c>
      <c r="AA585" s="1" t="s">
        <v>6011</v>
      </c>
      <c r="AB585" s="1" t="s">
        <v>6012</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2178</v>
      </c>
      <c r="AP585" s="1" t="s">
        <v>3825</v>
      </c>
      <c r="AQ585" s="1" t="s">
        <v>74</v>
      </c>
      <c r="AR585" s="1" t="s">
        <v>74</v>
      </c>
      <c r="AS585" s="1" t="s">
        <v>74</v>
      </c>
      <c r="AT585" s="1" t="s">
        <v>6013</v>
      </c>
      <c r="AU585" s="1">
        <v>2022.0</v>
      </c>
      <c r="AV585" s="1">
        <v>119.0</v>
      </c>
      <c r="AW585" s="1">
        <v>33.0</v>
      </c>
      <c r="AX585" s="1" t="s">
        <v>74</v>
      </c>
      <c r="AY585" s="1" t="s">
        <v>74</v>
      </c>
      <c r="AZ585" s="1" t="s">
        <v>74</v>
      </c>
      <c r="BA585" s="1" t="s">
        <v>74</v>
      </c>
      <c r="BB585" s="1" t="s">
        <v>74</v>
      </c>
      <c r="BC585" s="1" t="s">
        <v>74</v>
      </c>
      <c r="BD585" s="1" t="s">
        <v>6014</v>
      </c>
      <c r="BE585" s="1" t="s">
        <v>6015</v>
      </c>
      <c r="BF585" s="2" t="str">
        <f>HYPERLINK("http://dx.doi.org/10.1073/pnas.2206513119","http://dx.doi.org/10.1073/pnas.2206513119")</f>
        <v>http://dx.doi.org/10.1073/pnas.2206513119</v>
      </c>
      <c r="BG585" s="1" t="s">
        <v>74</v>
      </c>
      <c r="BH585" s="1" t="s">
        <v>74</v>
      </c>
      <c r="BI585" s="1" t="s">
        <v>74</v>
      </c>
      <c r="BJ585" s="1" t="s">
        <v>74</v>
      </c>
      <c r="BK585" s="1" t="s">
        <v>74</v>
      </c>
      <c r="BL585" s="1" t="s">
        <v>74</v>
      </c>
      <c r="BM585" s="1" t="s">
        <v>74</v>
      </c>
      <c r="BN585" s="1">
        <v>3.5939666E7</v>
      </c>
      <c r="BO585" s="1" t="s">
        <v>74</v>
      </c>
      <c r="BP585" s="1" t="s">
        <v>74</v>
      </c>
      <c r="BQ585" s="1" t="s">
        <v>74</v>
      </c>
      <c r="BR585" s="1" t="s">
        <v>74</v>
      </c>
      <c r="BS585" s="1" t="s">
        <v>6016</v>
      </c>
      <c r="BT585" s="1" t="str">
        <f>HYPERLINK("https%3A%2F%2Fwww.webofscience.com%2Fwos%2Fwoscc%2Ffull-record%2FWOS:000891285000005","View Full Record in Web of Science")</f>
        <v>View Full Record in Web of Science</v>
      </c>
    </row>
    <row r="586" ht="12.75" customHeight="1">
      <c r="A586" s="1" t="s">
        <v>72</v>
      </c>
      <c r="B586" s="1" t="s">
        <v>6017</v>
      </c>
      <c r="C586" s="1" t="s">
        <v>74</v>
      </c>
      <c r="D586" s="1" t="s">
        <v>74</v>
      </c>
      <c r="E586" s="1" t="s">
        <v>74</v>
      </c>
      <c r="F586" s="1" t="s">
        <v>6018</v>
      </c>
      <c r="G586" s="1" t="s">
        <v>74</v>
      </c>
      <c r="H586" s="1" t="s">
        <v>74</v>
      </c>
      <c r="I586" s="1" t="s">
        <v>6019</v>
      </c>
      <c r="J586" s="1" t="s">
        <v>2141</v>
      </c>
      <c r="K586" s="1" t="s">
        <v>74</v>
      </c>
      <c r="L586" s="1" t="s">
        <v>74</v>
      </c>
      <c r="M586" s="1" t="s">
        <v>74</v>
      </c>
      <c r="N586" s="1" t="s">
        <v>74</v>
      </c>
      <c r="O586" s="1" t="s">
        <v>74</v>
      </c>
      <c r="P586" s="1" t="s">
        <v>74</v>
      </c>
      <c r="Q586" s="1" t="s">
        <v>74</v>
      </c>
      <c r="R586" s="1" t="s">
        <v>74</v>
      </c>
      <c r="S586" s="1" t="s">
        <v>74</v>
      </c>
      <c r="T586" s="1" t="s">
        <v>74</v>
      </c>
      <c r="U586" s="1" t="s">
        <v>74</v>
      </c>
      <c r="V586" s="1" t="s">
        <v>6020</v>
      </c>
      <c r="W586" s="1" t="s">
        <v>74</v>
      </c>
      <c r="X586" s="1" t="s">
        <v>74</v>
      </c>
      <c r="Y586" s="1" t="s">
        <v>74</v>
      </c>
      <c r="Z586" s="1" t="s">
        <v>74</v>
      </c>
      <c r="AA586" s="1" t="s">
        <v>6021</v>
      </c>
      <c r="AB586" s="1" t="s">
        <v>6022</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2145</v>
      </c>
      <c r="AP586" s="1" t="s">
        <v>2146</v>
      </c>
      <c r="AQ586" s="1" t="s">
        <v>74</v>
      </c>
      <c r="AR586" s="1" t="s">
        <v>74</v>
      </c>
      <c r="AS586" s="1" t="s">
        <v>74</v>
      </c>
      <c r="AT586" s="1" t="s">
        <v>74</v>
      </c>
      <c r="AU586" s="1">
        <v>2021.0</v>
      </c>
      <c r="AV586" s="1">
        <v>97.0</v>
      </c>
      <c r="AW586" s="1">
        <v>6.0</v>
      </c>
      <c r="AX586" s="1" t="s">
        <v>74</v>
      </c>
      <c r="AY586" s="1" t="s">
        <v>74</v>
      </c>
      <c r="AZ586" s="1" t="s">
        <v>74</v>
      </c>
      <c r="BA586" s="1" t="s">
        <v>74</v>
      </c>
      <c r="BB586" s="1">
        <v>629.0</v>
      </c>
      <c r="BC586" s="1">
        <v>636.0</v>
      </c>
      <c r="BD586" s="1" t="s">
        <v>74</v>
      </c>
      <c r="BE586" s="1" t="s">
        <v>6023</v>
      </c>
      <c r="BF586" s="2" t="str">
        <f>HYPERLINK("http://dx.doi.org/10.1016/j.jped.2021.01.001","http://dx.doi.org/10.1016/j.jped.2021.01.001")</f>
        <v>http://dx.doi.org/10.1016/j.jped.2021.01.001</v>
      </c>
      <c r="BG586" s="1" t="s">
        <v>74</v>
      </c>
      <c r="BH586" s="1" t="s">
        <v>74</v>
      </c>
      <c r="BI586" s="1" t="s">
        <v>74</v>
      </c>
      <c r="BJ586" s="1" t="s">
        <v>74</v>
      </c>
      <c r="BK586" s="1" t="s">
        <v>74</v>
      </c>
      <c r="BL586" s="1" t="s">
        <v>74</v>
      </c>
      <c r="BM586" s="1" t="s">
        <v>74</v>
      </c>
      <c r="BN586" s="1">
        <v>3.356727E7</v>
      </c>
      <c r="BO586" s="1" t="s">
        <v>74</v>
      </c>
      <c r="BP586" s="1" t="s">
        <v>74</v>
      </c>
      <c r="BQ586" s="1" t="s">
        <v>74</v>
      </c>
      <c r="BR586" s="1" t="s">
        <v>74</v>
      </c>
      <c r="BS586" s="1" t="s">
        <v>6024</v>
      </c>
      <c r="BT586" s="1" t="str">
        <f>HYPERLINK("https%3A%2F%2Fwww.webofscience.com%2Fwos%2Fwoscc%2Ffull-record%2FWOS:000729607100009","View Full Record in Web of Science")</f>
        <v>View Full Record in Web of Science</v>
      </c>
    </row>
    <row r="587" ht="12.75" customHeight="1">
      <c r="A587" s="1" t="s">
        <v>72</v>
      </c>
      <c r="B587" s="1" t="s">
        <v>6025</v>
      </c>
      <c r="C587" s="1" t="s">
        <v>74</v>
      </c>
      <c r="D587" s="1" t="s">
        <v>74</v>
      </c>
      <c r="E587" s="1" t="s">
        <v>74</v>
      </c>
      <c r="F587" s="1" t="s">
        <v>6026</v>
      </c>
      <c r="G587" s="1" t="s">
        <v>74</v>
      </c>
      <c r="H587" s="1" t="s">
        <v>74</v>
      </c>
      <c r="I587" s="1" t="s">
        <v>6027</v>
      </c>
      <c r="J587" s="1" t="s">
        <v>6028</v>
      </c>
      <c r="K587" s="1" t="s">
        <v>74</v>
      </c>
      <c r="L587" s="1" t="s">
        <v>74</v>
      </c>
      <c r="M587" s="1" t="s">
        <v>74</v>
      </c>
      <c r="N587" s="1" t="s">
        <v>74</v>
      </c>
      <c r="O587" s="1" t="s">
        <v>74</v>
      </c>
      <c r="P587" s="1" t="s">
        <v>74</v>
      </c>
      <c r="Q587" s="1" t="s">
        <v>74</v>
      </c>
      <c r="R587" s="1" t="s">
        <v>74</v>
      </c>
      <c r="S587" s="1" t="s">
        <v>74</v>
      </c>
      <c r="T587" s="1" t="s">
        <v>74</v>
      </c>
      <c r="U587" s="1" t="s">
        <v>74</v>
      </c>
      <c r="V587" s="1" t="s">
        <v>6029</v>
      </c>
      <c r="W587" s="1" t="s">
        <v>74</v>
      </c>
      <c r="X587" s="1" t="s">
        <v>74</v>
      </c>
      <c r="Y587" s="1" t="s">
        <v>74</v>
      </c>
      <c r="Z587" s="1" t="s">
        <v>74</v>
      </c>
      <c r="AA587" s="1" t="s">
        <v>6030</v>
      </c>
      <c r="AB587" s="1" t="s">
        <v>6031</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6032</v>
      </c>
      <c r="AP587" s="1" t="s">
        <v>74</v>
      </c>
      <c r="AQ587" s="1" t="s">
        <v>74</v>
      </c>
      <c r="AR587" s="1" t="s">
        <v>74</v>
      </c>
      <c r="AS587" s="1" t="s">
        <v>74</v>
      </c>
      <c r="AT587" s="1" t="s">
        <v>94</v>
      </c>
      <c r="AU587" s="1">
        <v>2024.0</v>
      </c>
      <c r="AV587" s="1">
        <v>24.0</v>
      </c>
      <c r="AW587" s="1" t="s">
        <v>74</v>
      </c>
      <c r="AX587" s="1" t="s">
        <v>74</v>
      </c>
      <c r="AY587" s="1" t="s">
        <v>74</v>
      </c>
      <c r="AZ587" s="1" t="s">
        <v>74</v>
      </c>
      <c r="BA587" s="1" t="s">
        <v>74</v>
      </c>
      <c r="BB587" s="1" t="s">
        <v>74</v>
      </c>
      <c r="BC587" s="1" t="s">
        <v>74</v>
      </c>
      <c r="BD587" s="1">
        <v>103120.0</v>
      </c>
      <c r="BE587" s="1" t="s">
        <v>6033</v>
      </c>
      <c r="BF587" s="2" t="str">
        <f>HYPERLINK("http://dx.doi.org/10.1016/j.rineng.2024.103120","http://dx.doi.org/10.1016/j.rineng.2024.103120")</f>
        <v>http://dx.doi.org/10.1016/j.rineng.2024.103120</v>
      </c>
      <c r="BG587" s="1" t="s">
        <v>74</v>
      </c>
      <c r="BH587" s="1" t="s">
        <v>6034</v>
      </c>
      <c r="BI587" s="1" t="s">
        <v>74</v>
      </c>
      <c r="BJ587" s="1" t="s">
        <v>74</v>
      </c>
      <c r="BK587" s="1" t="s">
        <v>74</v>
      </c>
      <c r="BL587" s="1" t="s">
        <v>74</v>
      </c>
      <c r="BM587" s="1" t="s">
        <v>74</v>
      </c>
      <c r="BN587" s="1" t="s">
        <v>74</v>
      </c>
      <c r="BO587" s="1" t="s">
        <v>74</v>
      </c>
      <c r="BP587" s="1" t="s">
        <v>74</v>
      </c>
      <c r="BQ587" s="1" t="s">
        <v>74</v>
      </c>
      <c r="BR587" s="1" t="s">
        <v>74</v>
      </c>
      <c r="BS587" s="1" t="s">
        <v>6035</v>
      </c>
      <c r="BT587" s="1" t="str">
        <f>HYPERLINK("https%3A%2F%2Fwww.webofscience.com%2Fwos%2Fwoscc%2Ffull-record%2FWOS:001339624500001","View Full Record in Web of Science")</f>
        <v>View Full Record in Web of Science</v>
      </c>
    </row>
    <row r="588" ht="12.75" customHeight="1">
      <c r="A588" s="1" t="s">
        <v>72</v>
      </c>
      <c r="B588" s="1" t="s">
        <v>6036</v>
      </c>
      <c r="C588" s="1" t="s">
        <v>74</v>
      </c>
      <c r="D588" s="1" t="s">
        <v>74</v>
      </c>
      <c r="E588" s="1" t="s">
        <v>74</v>
      </c>
      <c r="F588" s="1" t="s">
        <v>6037</v>
      </c>
      <c r="G588" s="1" t="s">
        <v>74</v>
      </c>
      <c r="H588" s="1" t="s">
        <v>74</v>
      </c>
      <c r="I588" s="1" t="s">
        <v>6038</v>
      </c>
      <c r="J588" s="1" t="s">
        <v>1441</v>
      </c>
      <c r="K588" s="1" t="s">
        <v>74</v>
      </c>
      <c r="L588" s="1" t="s">
        <v>74</v>
      </c>
      <c r="M588" s="1" t="s">
        <v>74</v>
      </c>
      <c r="N588" s="1" t="s">
        <v>74</v>
      </c>
      <c r="O588" s="1" t="s">
        <v>74</v>
      </c>
      <c r="P588" s="1" t="s">
        <v>74</v>
      </c>
      <c r="Q588" s="1" t="s">
        <v>74</v>
      </c>
      <c r="R588" s="1" t="s">
        <v>74</v>
      </c>
      <c r="S588" s="1" t="s">
        <v>74</v>
      </c>
      <c r="T588" s="1" t="s">
        <v>74</v>
      </c>
      <c r="U588" s="1" t="s">
        <v>74</v>
      </c>
      <c r="V588" s="1" t="s">
        <v>6039</v>
      </c>
      <c r="W588" s="1" t="s">
        <v>74</v>
      </c>
      <c r="X588" s="1" t="s">
        <v>74</v>
      </c>
      <c r="Y588" s="1" t="s">
        <v>74</v>
      </c>
      <c r="Z588" s="1" t="s">
        <v>74</v>
      </c>
      <c r="AA588" s="1" t="s">
        <v>6040</v>
      </c>
      <c r="AB588" s="1" t="s">
        <v>6041</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1445</v>
      </c>
      <c r="AP588" s="1" t="s">
        <v>1446</v>
      </c>
      <c r="AQ588" s="1" t="s">
        <v>74</v>
      </c>
      <c r="AR588" s="1" t="s">
        <v>74</v>
      </c>
      <c r="AS588" s="1" t="s">
        <v>74</v>
      </c>
      <c r="AT588" s="1" t="s">
        <v>2406</v>
      </c>
      <c r="AU588" s="1">
        <v>2023.0</v>
      </c>
      <c r="AV588" s="1">
        <v>954.0</v>
      </c>
      <c r="AW588" s="1">
        <v>2.0</v>
      </c>
      <c r="AX588" s="1" t="s">
        <v>74</v>
      </c>
      <c r="AY588" s="1" t="s">
        <v>74</v>
      </c>
      <c r="AZ588" s="1" t="s">
        <v>74</v>
      </c>
      <c r="BA588" s="1" t="s">
        <v>74</v>
      </c>
      <c r="BB588" s="1" t="s">
        <v>74</v>
      </c>
      <c r="BC588" s="1" t="s">
        <v>74</v>
      </c>
      <c r="BD588" s="1">
        <v>191.0</v>
      </c>
      <c r="BE588" s="1" t="s">
        <v>6042</v>
      </c>
      <c r="BF588" s="2" t="str">
        <f>HYPERLINK("http://dx.doi.org/10.3847/1538-4357/aceb5b","http://dx.doi.org/10.3847/1538-4357/aceb5b")</f>
        <v>http://dx.doi.org/10.3847/1538-4357/aceb5b</v>
      </c>
      <c r="BG588" s="1" t="s">
        <v>74</v>
      </c>
      <c r="BH588" s="1" t="s">
        <v>74</v>
      </c>
      <c r="BI588" s="1" t="s">
        <v>74</v>
      </c>
      <c r="BJ588" s="1" t="s">
        <v>74</v>
      </c>
      <c r="BK588" s="1" t="s">
        <v>74</v>
      </c>
      <c r="BL588" s="1" t="s">
        <v>74</v>
      </c>
      <c r="BM588" s="1" t="s">
        <v>74</v>
      </c>
      <c r="BN588" s="1" t="s">
        <v>74</v>
      </c>
      <c r="BO588" s="1" t="s">
        <v>74</v>
      </c>
      <c r="BP588" s="1" t="s">
        <v>74</v>
      </c>
      <c r="BQ588" s="1" t="s">
        <v>74</v>
      </c>
      <c r="BR588" s="1" t="s">
        <v>74</v>
      </c>
      <c r="BS588" s="1" t="s">
        <v>6043</v>
      </c>
      <c r="BT588" s="1" t="str">
        <f>HYPERLINK("https%3A%2F%2Fwww.webofscience.com%2Fwos%2Fwoscc%2Ffull-record%2FWOS:001144773800001","View Full Record in Web of Science")</f>
        <v>View Full Record in Web of Science</v>
      </c>
    </row>
    <row r="589" ht="12.75" customHeight="1">
      <c r="A589" s="1" t="s">
        <v>72</v>
      </c>
      <c r="B589" s="1" t="s">
        <v>6044</v>
      </c>
      <c r="C589" s="1" t="s">
        <v>74</v>
      </c>
      <c r="D589" s="1" t="s">
        <v>74</v>
      </c>
      <c r="E589" s="1" t="s">
        <v>74</v>
      </c>
      <c r="F589" s="1" t="s">
        <v>6045</v>
      </c>
      <c r="G589" s="1" t="s">
        <v>74</v>
      </c>
      <c r="H589" s="1" t="s">
        <v>74</v>
      </c>
      <c r="I589" s="1" t="s">
        <v>6046</v>
      </c>
      <c r="J589" s="1" t="s">
        <v>6047</v>
      </c>
      <c r="K589" s="1" t="s">
        <v>74</v>
      </c>
      <c r="L589" s="1" t="s">
        <v>74</v>
      </c>
      <c r="M589" s="1" t="s">
        <v>74</v>
      </c>
      <c r="N589" s="1" t="s">
        <v>74</v>
      </c>
      <c r="O589" s="1" t="s">
        <v>74</v>
      </c>
      <c r="P589" s="1" t="s">
        <v>74</v>
      </c>
      <c r="Q589" s="1" t="s">
        <v>74</v>
      </c>
      <c r="R589" s="1" t="s">
        <v>74</v>
      </c>
      <c r="S589" s="1" t="s">
        <v>74</v>
      </c>
      <c r="T589" s="1" t="s">
        <v>74</v>
      </c>
      <c r="U589" s="1" t="s">
        <v>74</v>
      </c>
      <c r="V589" s="1" t="s">
        <v>6048</v>
      </c>
      <c r="W589" s="1" t="s">
        <v>74</v>
      </c>
      <c r="X589" s="1" t="s">
        <v>74</v>
      </c>
      <c r="Y589" s="1" t="s">
        <v>74</v>
      </c>
      <c r="Z589" s="1" t="s">
        <v>74</v>
      </c>
      <c r="AA589" s="1" t="s">
        <v>6049</v>
      </c>
      <c r="AB589" s="1" t="s">
        <v>6050</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6051</v>
      </c>
      <c r="AP589" s="1" t="s">
        <v>6052</v>
      </c>
      <c r="AQ589" s="1" t="s">
        <v>74</v>
      </c>
      <c r="AR589" s="1" t="s">
        <v>74</v>
      </c>
      <c r="AS589" s="1" t="s">
        <v>74</v>
      </c>
      <c r="AT589" s="1" t="s">
        <v>94</v>
      </c>
      <c r="AU589" s="1">
        <v>2022.0</v>
      </c>
      <c r="AV589" s="1">
        <v>24.0</v>
      </c>
      <c r="AW589" s="1">
        <v>12.0</v>
      </c>
      <c r="AX589" s="1" t="s">
        <v>74</v>
      </c>
      <c r="AY589" s="1" t="s">
        <v>74</v>
      </c>
      <c r="AZ589" s="1" t="s">
        <v>74</v>
      </c>
      <c r="BA589" s="1" t="s">
        <v>74</v>
      </c>
      <c r="BB589" s="1">
        <v>5615.0</v>
      </c>
      <c r="BC589" s="1">
        <v>5629.0</v>
      </c>
      <c r="BD589" s="1" t="s">
        <v>74</v>
      </c>
      <c r="BE589" s="1" t="s">
        <v>6053</v>
      </c>
      <c r="BF589" s="2" t="str">
        <f>HYPERLINK("http://dx.doi.org/10.1111/1462-2920.16103","http://dx.doi.org/10.1111/1462-2920.16103")</f>
        <v>http://dx.doi.org/10.1111/1462-2920.16103</v>
      </c>
      <c r="BG589" s="1" t="s">
        <v>74</v>
      </c>
      <c r="BH589" s="1" t="s">
        <v>623</v>
      </c>
      <c r="BI589" s="1" t="s">
        <v>74</v>
      </c>
      <c r="BJ589" s="1" t="s">
        <v>74</v>
      </c>
      <c r="BK589" s="1" t="s">
        <v>74</v>
      </c>
      <c r="BL589" s="1" t="s">
        <v>74</v>
      </c>
      <c r="BM589" s="1" t="s">
        <v>74</v>
      </c>
      <c r="BN589" s="1">
        <v>3.5769023E7</v>
      </c>
      <c r="BO589" s="1" t="s">
        <v>74</v>
      </c>
      <c r="BP589" s="1" t="s">
        <v>74</v>
      </c>
      <c r="BQ589" s="1" t="s">
        <v>74</v>
      </c>
      <c r="BR589" s="1" t="s">
        <v>74</v>
      </c>
      <c r="BS589" s="1" t="s">
        <v>6054</v>
      </c>
      <c r="BT589" s="1" t="str">
        <f>HYPERLINK("https%3A%2F%2Fwww.webofscience.com%2Fwos%2Fwoscc%2Ffull-record%2FWOS:000818736000001","View Full Record in Web of Science")</f>
        <v>View Full Record in Web of Science</v>
      </c>
    </row>
    <row r="590" ht="12.75" customHeight="1">
      <c r="A590" s="1" t="s">
        <v>72</v>
      </c>
      <c r="B590" s="1" t="s">
        <v>6055</v>
      </c>
      <c r="C590" s="1" t="s">
        <v>74</v>
      </c>
      <c r="D590" s="1" t="s">
        <v>74</v>
      </c>
      <c r="E590" s="1" t="s">
        <v>74</v>
      </c>
      <c r="F590" s="1" t="s">
        <v>6056</v>
      </c>
      <c r="G590" s="1" t="s">
        <v>74</v>
      </c>
      <c r="H590" s="1" t="s">
        <v>74</v>
      </c>
      <c r="I590" s="1" t="s">
        <v>6057</v>
      </c>
      <c r="J590" s="1" t="s">
        <v>259</v>
      </c>
      <c r="K590" s="1" t="s">
        <v>74</v>
      </c>
      <c r="L590" s="1" t="s">
        <v>74</v>
      </c>
      <c r="M590" s="1" t="s">
        <v>74</v>
      </c>
      <c r="N590" s="1" t="s">
        <v>74</v>
      </c>
      <c r="O590" s="1" t="s">
        <v>74</v>
      </c>
      <c r="P590" s="1" t="s">
        <v>74</v>
      </c>
      <c r="Q590" s="1" t="s">
        <v>74</v>
      </c>
      <c r="R590" s="1" t="s">
        <v>74</v>
      </c>
      <c r="S590" s="1" t="s">
        <v>74</v>
      </c>
      <c r="T590" s="1" t="s">
        <v>74</v>
      </c>
      <c r="U590" s="1" t="s">
        <v>74</v>
      </c>
      <c r="V590" s="1" t="s">
        <v>6058</v>
      </c>
      <c r="W590" s="1" t="s">
        <v>74</v>
      </c>
      <c r="X590" s="1" t="s">
        <v>74</v>
      </c>
      <c r="Y590" s="1" t="s">
        <v>74</v>
      </c>
      <c r="Z590" s="1" t="s">
        <v>74</v>
      </c>
      <c r="AA590" s="1" t="s">
        <v>6059</v>
      </c>
      <c r="AB590" s="1" t="s">
        <v>6060</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74</v>
      </c>
      <c r="AP590" s="1" t="s">
        <v>263</v>
      </c>
      <c r="AQ590" s="1" t="s">
        <v>74</v>
      </c>
      <c r="AR590" s="1" t="s">
        <v>74</v>
      </c>
      <c r="AS590" s="1" t="s">
        <v>74</v>
      </c>
      <c r="AT590" s="1" t="s">
        <v>214</v>
      </c>
      <c r="AU590" s="1">
        <v>2021.0</v>
      </c>
      <c r="AV590" s="1">
        <v>13.0</v>
      </c>
      <c r="AW590" s="1">
        <v>2.0</v>
      </c>
      <c r="AX590" s="1" t="s">
        <v>74</v>
      </c>
      <c r="AY590" s="1" t="s">
        <v>74</v>
      </c>
      <c r="AZ590" s="1" t="s">
        <v>74</v>
      </c>
      <c r="BA590" s="1" t="s">
        <v>74</v>
      </c>
      <c r="BB590" s="1" t="s">
        <v>74</v>
      </c>
      <c r="BC590" s="1" t="s">
        <v>74</v>
      </c>
      <c r="BD590" s="1">
        <v>315.0</v>
      </c>
      <c r="BE590" s="1" t="s">
        <v>6061</v>
      </c>
      <c r="BF590" s="2" t="str">
        <f>HYPERLINK("http://dx.doi.org/10.3390/nu13020315","http://dx.doi.org/10.3390/nu13020315")</f>
        <v>http://dx.doi.org/10.3390/nu13020315</v>
      </c>
      <c r="BG590" s="1" t="s">
        <v>74</v>
      </c>
      <c r="BH590" s="1" t="s">
        <v>74</v>
      </c>
      <c r="BI590" s="1" t="s">
        <v>74</v>
      </c>
      <c r="BJ590" s="1" t="s">
        <v>74</v>
      </c>
      <c r="BK590" s="1" t="s">
        <v>74</v>
      </c>
      <c r="BL590" s="1" t="s">
        <v>74</v>
      </c>
      <c r="BM590" s="1" t="s">
        <v>74</v>
      </c>
      <c r="BN590" s="1">
        <v>3.3499184E7</v>
      </c>
      <c r="BO590" s="1" t="s">
        <v>74</v>
      </c>
      <c r="BP590" s="1" t="s">
        <v>74</v>
      </c>
      <c r="BQ590" s="1" t="s">
        <v>74</v>
      </c>
      <c r="BR590" s="1" t="s">
        <v>74</v>
      </c>
      <c r="BS590" s="1" t="s">
        <v>6062</v>
      </c>
      <c r="BT590" s="1" t="str">
        <f>HYPERLINK("https%3A%2F%2Fwww.webofscience.com%2Fwos%2Fwoscc%2Ffull-record%2FWOS:000622941400001","View Full Record in Web of Science")</f>
        <v>View Full Record in Web of Science</v>
      </c>
    </row>
    <row r="591" ht="12.75" customHeight="1">
      <c r="A591" s="1" t="s">
        <v>72</v>
      </c>
      <c r="B591" s="1" t="s">
        <v>6063</v>
      </c>
      <c r="C591" s="1" t="s">
        <v>74</v>
      </c>
      <c r="D591" s="1" t="s">
        <v>74</v>
      </c>
      <c r="E591" s="1" t="s">
        <v>74</v>
      </c>
      <c r="F591" s="1" t="s">
        <v>6064</v>
      </c>
      <c r="G591" s="1" t="s">
        <v>74</v>
      </c>
      <c r="H591" s="1" t="s">
        <v>74</v>
      </c>
      <c r="I591" s="1" t="s">
        <v>6065</v>
      </c>
      <c r="J591" s="1" t="s">
        <v>6066</v>
      </c>
      <c r="K591" s="1" t="s">
        <v>74</v>
      </c>
      <c r="L591" s="1" t="s">
        <v>74</v>
      </c>
      <c r="M591" s="1" t="s">
        <v>74</v>
      </c>
      <c r="N591" s="1" t="s">
        <v>74</v>
      </c>
      <c r="O591" s="1" t="s">
        <v>74</v>
      </c>
      <c r="P591" s="1" t="s">
        <v>74</v>
      </c>
      <c r="Q591" s="1" t="s">
        <v>74</v>
      </c>
      <c r="R591" s="1" t="s">
        <v>74</v>
      </c>
      <c r="S591" s="1" t="s">
        <v>74</v>
      </c>
      <c r="T591" s="1" t="s">
        <v>74</v>
      </c>
      <c r="U591" s="1" t="s">
        <v>74</v>
      </c>
      <c r="V591" s="1" t="s">
        <v>6067</v>
      </c>
      <c r="W591" s="1" t="s">
        <v>74</v>
      </c>
      <c r="X591" s="1" t="s">
        <v>74</v>
      </c>
      <c r="Y591" s="1" t="s">
        <v>74</v>
      </c>
      <c r="Z591" s="1" t="s">
        <v>74</v>
      </c>
      <c r="AA591" s="1" t="s">
        <v>6068</v>
      </c>
      <c r="AB591" s="1" t="s">
        <v>6069</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6070</v>
      </c>
      <c r="AP591" s="1" t="s">
        <v>74</v>
      </c>
      <c r="AQ591" s="1" t="s">
        <v>74</v>
      </c>
      <c r="AR591" s="1" t="s">
        <v>74</v>
      </c>
      <c r="AS591" s="1" t="s">
        <v>74</v>
      </c>
      <c r="AT591" s="1" t="s">
        <v>447</v>
      </c>
      <c r="AU591" s="1">
        <v>2018.0</v>
      </c>
      <c r="AV591" s="1">
        <v>50.0</v>
      </c>
      <c r="AW591" s="1" t="s">
        <v>74</v>
      </c>
      <c r="AX591" s="1" t="s">
        <v>74</v>
      </c>
      <c r="AY591" s="1" t="s">
        <v>74</v>
      </c>
      <c r="AZ591" s="1" t="s">
        <v>448</v>
      </c>
      <c r="BA591" s="1" t="s">
        <v>74</v>
      </c>
      <c r="BB591" s="1">
        <v>3.0</v>
      </c>
      <c r="BC591" s="1">
        <v>26.0</v>
      </c>
      <c r="BD591" s="1" t="s">
        <v>74</v>
      </c>
      <c r="BE591" s="1" t="s">
        <v>6071</v>
      </c>
      <c r="BF591" s="2" t="str">
        <f>HYPERLINK("http://dx.doi.org/10.22382/wfs-2018-037","http://dx.doi.org/10.22382/wfs-2018-037")</f>
        <v>http://dx.doi.org/10.22382/wfs-2018-037</v>
      </c>
      <c r="BG591" s="1" t="s">
        <v>74</v>
      </c>
      <c r="BH591" s="1" t="s">
        <v>74</v>
      </c>
      <c r="BI591" s="1" t="s">
        <v>74</v>
      </c>
      <c r="BJ591" s="1" t="s">
        <v>74</v>
      </c>
      <c r="BK591" s="1" t="s">
        <v>74</v>
      </c>
      <c r="BL591" s="1" t="s">
        <v>74</v>
      </c>
      <c r="BM591" s="1" t="s">
        <v>74</v>
      </c>
      <c r="BN591" s="1" t="s">
        <v>74</v>
      </c>
      <c r="BO591" s="1" t="s">
        <v>74</v>
      </c>
      <c r="BP591" s="1" t="s">
        <v>74</v>
      </c>
      <c r="BQ591" s="1" t="s">
        <v>74</v>
      </c>
      <c r="BR591" s="1" t="s">
        <v>74</v>
      </c>
      <c r="BS591" s="1" t="s">
        <v>6072</v>
      </c>
      <c r="BT591" s="1" t="str">
        <f>HYPERLINK("https%3A%2F%2Fwww.webofscience.com%2Fwos%2Fwoscc%2Ffull-record%2FWOS:000441731700002","View Full Record in Web of Science")</f>
        <v>View Full Record in Web of Science</v>
      </c>
    </row>
    <row r="592" ht="12.75" customHeight="1">
      <c r="A592" s="1" t="s">
        <v>72</v>
      </c>
      <c r="B592" s="1" t="s">
        <v>6073</v>
      </c>
      <c r="C592" s="1" t="s">
        <v>74</v>
      </c>
      <c r="D592" s="1" t="s">
        <v>74</v>
      </c>
      <c r="E592" s="1" t="s">
        <v>74</v>
      </c>
      <c r="F592" s="1" t="s">
        <v>6074</v>
      </c>
      <c r="G592" s="1" t="s">
        <v>74</v>
      </c>
      <c r="H592" s="1" t="s">
        <v>74</v>
      </c>
      <c r="I592" s="1" t="s">
        <v>6075</v>
      </c>
      <c r="J592" s="1" t="s">
        <v>1057</v>
      </c>
      <c r="K592" s="1" t="s">
        <v>74</v>
      </c>
      <c r="L592" s="1" t="s">
        <v>74</v>
      </c>
      <c r="M592" s="1" t="s">
        <v>74</v>
      </c>
      <c r="N592" s="1" t="s">
        <v>74</v>
      </c>
      <c r="O592" s="1" t="s">
        <v>74</v>
      </c>
      <c r="P592" s="1" t="s">
        <v>74</v>
      </c>
      <c r="Q592" s="1" t="s">
        <v>74</v>
      </c>
      <c r="R592" s="1" t="s">
        <v>74</v>
      </c>
      <c r="S592" s="1" t="s">
        <v>74</v>
      </c>
      <c r="T592" s="1" t="s">
        <v>74</v>
      </c>
      <c r="U592" s="1" t="s">
        <v>74</v>
      </c>
      <c r="V592" s="1" t="s">
        <v>6076</v>
      </c>
      <c r="W592" s="1" t="s">
        <v>74</v>
      </c>
      <c r="X592" s="1" t="s">
        <v>74</v>
      </c>
      <c r="Y592" s="1" t="s">
        <v>74</v>
      </c>
      <c r="Z592" s="1" t="s">
        <v>74</v>
      </c>
      <c r="AA592" s="1" t="s">
        <v>6077</v>
      </c>
      <c r="AB592" s="1" t="s">
        <v>6078</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74</v>
      </c>
      <c r="AP592" s="1" t="s">
        <v>1061</v>
      </c>
      <c r="AQ592" s="1" t="s">
        <v>74</v>
      </c>
      <c r="AR592" s="1" t="s">
        <v>74</v>
      </c>
      <c r="AS592" s="1" t="s">
        <v>74</v>
      </c>
      <c r="AT592" s="1" t="s">
        <v>334</v>
      </c>
      <c r="AU592" s="1">
        <v>2019.0</v>
      </c>
      <c r="AV592" s="1">
        <v>16.0</v>
      </c>
      <c r="AW592" s="1">
        <v>20.0</v>
      </c>
      <c r="AX592" s="1" t="s">
        <v>74</v>
      </c>
      <c r="AY592" s="1" t="s">
        <v>74</v>
      </c>
      <c r="AZ592" s="1" t="s">
        <v>74</v>
      </c>
      <c r="BA592" s="1" t="s">
        <v>74</v>
      </c>
      <c r="BB592" s="1" t="s">
        <v>74</v>
      </c>
      <c r="BC592" s="1" t="s">
        <v>74</v>
      </c>
      <c r="BD592" s="1">
        <v>3889.0</v>
      </c>
      <c r="BE592" s="1" t="s">
        <v>6079</v>
      </c>
      <c r="BF592" s="2" t="str">
        <f>HYPERLINK("http://dx.doi.org/10.3390/ijerph16203889","http://dx.doi.org/10.3390/ijerph16203889")</f>
        <v>http://dx.doi.org/10.3390/ijerph16203889</v>
      </c>
      <c r="BG592" s="1" t="s">
        <v>74</v>
      </c>
      <c r="BH592" s="1" t="s">
        <v>74</v>
      </c>
      <c r="BI592" s="1" t="s">
        <v>74</v>
      </c>
      <c r="BJ592" s="1" t="s">
        <v>74</v>
      </c>
      <c r="BK592" s="1" t="s">
        <v>74</v>
      </c>
      <c r="BL592" s="1" t="s">
        <v>74</v>
      </c>
      <c r="BM592" s="1" t="s">
        <v>74</v>
      </c>
      <c r="BN592" s="1">
        <v>3.1615052E7</v>
      </c>
      <c r="BO592" s="1" t="s">
        <v>74</v>
      </c>
      <c r="BP592" s="1" t="s">
        <v>74</v>
      </c>
      <c r="BQ592" s="1" t="s">
        <v>74</v>
      </c>
      <c r="BR592" s="1" t="s">
        <v>74</v>
      </c>
      <c r="BS592" s="1" t="s">
        <v>6080</v>
      </c>
      <c r="BT592" s="1" t="str">
        <f>HYPERLINK("https%3A%2F%2Fwww.webofscience.com%2Fwos%2Fwoscc%2Ffull-record%2FWOS:000494779100103","View Full Record in Web of Science")</f>
        <v>View Full Record in Web of Science</v>
      </c>
    </row>
    <row r="593" ht="12.75" customHeight="1">
      <c r="A593" s="1" t="s">
        <v>72</v>
      </c>
      <c r="B593" s="1" t="s">
        <v>6081</v>
      </c>
      <c r="C593" s="1" t="s">
        <v>74</v>
      </c>
      <c r="D593" s="1" t="s">
        <v>74</v>
      </c>
      <c r="E593" s="1" t="s">
        <v>74</v>
      </c>
      <c r="F593" s="1" t="s">
        <v>6082</v>
      </c>
      <c r="G593" s="1" t="s">
        <v>74</v>
      </c>
      <c r="H593" s="1" t="s">
        <v>74</v>
      </c>
      <c r="I593" s="1" t="s">
        <v>6083</v>
      </c>
      <c r="J593" s="1" t="s">
        <v>1269</v>
      </c>
      <c r="K593" s="1" t="s">
        <v>74</v>
      </c>
      <c r="L593" s="1" t="s">
        <v>74</v>
      </c>
      <c r="M593" s="1" t="s">
        <v>74</v>
      </c>
      <c r="N593" s="1" t="s">
        <v>74</v>
      </c>
      <c r="O593" s="1" t="s">
        <v>74</v>
      </c>
      <c r="P593" s="1" t="s">
        <v>74</v>
      </c>
      <c r="Q593" s="1" t="s">
        <v>74</v>
      </c>
      <c r="R593" s="1" t="s">
        <v>74</v>
      </c>
      <c r="S593" s="1" t="s">
        <v>74</v>
      </c>
      <c r="T593" s="1" t="s">
        <v>74</v>
      </c>
      <c r="U593" s="1" t="s">
        <v>74</v>
      </c>
      <c r="V593" s="1" t="s">
        <v>6084</v>
      </c>
      <c r="W593" s="1" t="s">
        <v>74</v>
      </c>
      <c r="X593" s="1" t="s">
        <v>74</v>
      </c>
      <c r="Y593" s="1" t="s">
        <v>74</v>
      </c>
      <c r="Z593" s="1" t="s">
        <v>74</v>
      </c>
      <c r="AA593" s="1" t="s">
        <v>6085</v>
      </c>
      <c r="AB593" s="1" t="s">
        <v>6086</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1273</v>
      </c>
      <c r="AP593" s="1" t="s">
        <v>1274</v>
      </c>
      <c r="AQ593" s="1" t="s">
        <v>74</v>
      </c>
      <c r="AR593" s="1" t="s">
        <v>74</v>
      </c>
      <c r="AS593" s="1" t="s">
        <v>74</v>
      </c>
      <c r="AT593" s="1" t="s">
        <v>214</v>
      </c>
      <c r="AU593" s="1">
        <v>2019.0</v>
      </c>
      <c r="AV593" s="1">
        <v>124.0</v>
      </c>
      <c r="AW593" s="1">
        <v>2.0</v>
      </c>
      <c r="AX593" s="1" t="s">
        <v>74</v>
      </c>
      <c r="AY593" s="1" t="s">
        <v>74</v>
      </c>
      <c r="AZ593" s="1" t="s">
        <v>74</v>
      </c>
      <c r="BA593" s="1" t="s">
        <v>74</v>
      </c>
      <c r="BB593" s="1">
        <v>1187.0</v>
      </c>
      <c r="BC593" s="1">
        <v>1202.0</v>
      </c>
      <c r="BD593" s="1" t="s">
        <v>74</v>
      </c>
      <c r="BE593" s="1" t="s">
        <v>6087</v>
      </c>
      <c r="BF593" s="2" t="str">
        <f>HYPERLINK("http://dx.doi.org/10.1029/2018JA025965","http://dx.doi.org/10.1029/2018JA025965")</f>
        <v>http://dx.doi.org/10.1029/2018JA025965</v>
      </c>
      <c r="BG593" s="1" t="s">
        <v>74</v>
      </c>
      <c r="BH593" s="1" t="s">
        <v>74</v>
      </c>
      <c r="BI593" s="1" t="s">
        <v>74</v>
      </c>
      <c r="BJ593" s="1" t="s">
        <v>74</v>
      </c>
      <c r="BK593" s="1" t="s">
        <v>74</v>
      </c>
      <c r="BL593" s="1" t="s">
        <v>74</v>
      </c>
      <c r="BM593" s="1" t="s">
        <v>74</v>
      </c>
      <c r="BN593" s="1" t="s">
        <v>74</v>
      </c>
      <c r="BO593" s="1" t="s">
        <v>74</v>
      </c>
      <c r="BP593" s="1" t="s">
        <v>74</v>
      </c>
      <c r="BQ593" s="1" t="s">
        <v>74</v>
      </c>
      <c r="BR593" s="1" t="s">
        <v>74</v>
      </c>
      <c r="BS593" s="1" t="s">
        <v>6088</v>
      </c>
      <c r="BT593" s="1" t="str">
        <f>HYPERLINK("https%3A%2F%2Fwww.webofscience.com%2Fwos%2Fwoscc%2Ffull-record%2FWOS:000462015700024","View Full Record in Web of Science")</f>
        <v>View Full Record in Web of Science</v>
      </c>
    </row>
    <row r="594" ht="12.75" customHeight="1">
      <c r="A594" s="1" t="s">
        <v>72</v>
      </c>
      <c r="B594" s="1" t="s">
        <v>6089</v>
      </c>
      <c r="C594" s="1" t="s">
        <v>74</v>
      </c>
      <c r="D594" s="1" t="s">
        <v>74</v>
      </c>
      <c r="E594" s="1" t="s">
        <v>74</v>
      </c>
      <c r="F594" s="1" t="s">
        <v>6090</v>
      </c>
      <c r="G594" s="1" t="s">
        <v>74</v>
      </c>
      <c r="H594" s="1" t="s">
        <v>74</v>
      </c>
      <c r="I594" s="1" t="s">
        <v>6091</v>
      </c>
      <c r="J594" s="1" t="s">
        <v>606</v>
      </c>
      <c r="K594" s="1" t="s">
        <v>74</v>
      </c>
      <c r="L594" s="1" t="s">
        <v>74</v>
      </c>
      <c r="M594" s="1" t="s">
        <v>74</v>
      </c>
      <c r="N594" s="1" t="s">
        <v>74</v>
      </c>
      <c r="O594" s="1" t="s">
        <v>74</v>
      </c>
      <c r="P594" s="1" t="s">
        <v>74</v>
      </c>
      <c r="Q594" s="1" t="s">
        <v>74</v>
      </c>
      <c r="R594" s="1" t="s">
        <v>74</v>
      </c>
      <c r="S594" s="1" t="s">
        <v>74</v>
      </c>
      <c r="T594" s="1" t="s">
        <v>74</v>
      </c>
      <c r="U594" s="1" t="s">
        <v>74</v>
      </c>
      <c r="V594" s="1" t="s">
        <v>6092</v>
      </c>
      <c r="W594" s="1" t="s">
        <v>74</v>
      </c>
      <c r="X594" s="1" t="s">
        <v>74</v>
      </c>
      <c r="Y594" s="1" t="s">
        <v>74</v>
      </c>
      <c r="Z594" s="1" t="s">
        <v>74</v>
      </c>
      <c r="AA594" s="1" t="s">
        <v>6093</v>
      </c>
      <c r="AB594" s="1" t="s">
        <v>6094</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74</v>
      </c>
      <c r="AP594" s="1" t="s">
        <v>610</v>
      </c>
      <c r="AQ594" s="1" t="s">
        <v>74</v>
      </c>
      <c r="AR594" s="1" t="s">
        <v>74</v>
      </c>
      <c r="AS594" s="1" t="s">
        <v>74</v>
      </c>
      <c r="AT594" s="1" t="s">
        <v>74</v>
      </c>
      <c r="AU594" s="1">
        <v>2017.0</v>
      </c>
      <c r="AV594" s="1">
        <v>7.0</v>
      </c>
      <c r="AW594" s="1">
        <v>53.0</v>
      </c>
      <c r="AX594" s="1" t="s">
        <v>74</v>
      </c>
      <c r="AY594" s="1" t="s">
        <v>74</v>
      </c>
      <c r="AZ594" s="1" t="s">
        <v>74</v>
      </c>
      <c r="BA594" s="1" t="s">
        <v>74</v>
      </c>
      <c r="BB594" s="1">
        <v>33305.0</v>
      </c>
      <c r="BC594" s="1">
        <v>33313.0</v>
      </c>
      <c r="BD594" s="1" t="s">
        <v>74</v>
      </c>
      <c r="BE594" s="1" t="s">
        <v>6095</v>
      </c>
      <c r="BF594" s="2" t="str">
        <f>HYPERLINK("http://dx.doi.org/10.1039/c7ra05089e","http://dx.doi.org/10.1039/c7ra05089e")</f>
        <v>http://dx.doi.org/10.1039/c7ra05089e</v>
      </c>
      <c r="BG594" s="1" t="s">
        <v>74</v>
      </c>
      <c r="BH594" s="1" t="s">
        <v>74</v>
      </c>
      <c r="BI594" s="1" t="s">
        <v>74</v>
      </c>
      <c r="BJ594" s="1" t="s">
        <v>74</v>
      </c>
      <c r="BK594" s="1" t="s">
        <v>74</v>
      </c>
      <c r="BL594" s="1" t="s">
        <v>74</v>
      </c>
      <c r="BM594" s="1" t="s">
        <v>74</v>
      </c>
      <c r="BN594" s="1" t="s">
        <v>74</v>
      </c>
      <c r="BO594" s="1" t="s">
        <v>74</v>
      </c>
      <c r="BP594" s="1" t="s">
        <v>74</v>
      </c>
      <c r="BQ594" s="1" t="s">
        <v>74</v>
      </c>
      <c r="BR594" s="1" t="s">
        <v>74</v>
      </c>
      <c r="BS594" s="1" t="s">
        <v>6096</v>
      </c>
      <c r="BT594" s="1" t="str">
        <f>HYPERLINK("https%3A%2F%2Fwww.webofscience.com%2Fwos%2Fwoscc%2Ffull-record%2FWOS:000404864100032","View Full Record in Web of Science")</f>
        <v>View Full Record in Web of Science</v>
      </c>
    </row>
    <row r="595" ht="12.75" customHeight="1">
      <c r="A595" s="1" t="s">
        <v>72</v>
      </c>
      <c r="B595" s="1" t="s">
        <v>6097</v>
      </c>
      <c r="C595" s="1" t="s">
        <v>74</v>
      </c>
      <c r="D595" s="1" t="s">
        <v>74</v>
      </c>
      <c r="E595" s="1" t="s">
        <v>74</v>
      </c>
      <c r="F595" s="1" t="s">
        <v>6098</v>
      </c>
      <c r="G595" s="1" t="s">
        <v>74</v>
      </c>
      <c r="H595" s="1" t="s">
        <v>74</v>
      </c>
      <c r="I595" s="1" t="s">
        <v>6099</v>
      </c>
      <c r="J595" s="1" t="s">
        <v>6100</v>
      </c>
      <c r="K595" s="1" t="s">
        <v>74</v>
      </c>
      <c r="L595" s="1" t="s">
        <v>74</v>
      </c>
      <c r="M595" s="1" t="s">
        <v>74</v>
      </c>
      <c r="N595" s="1" t="s">
        <v>74</v>
      </c>
      <c r="O595" s="1" t="s">
        <v>74</v>
      </c>
      <c r="P595" s="1" t="s">
        <v>74</v>
      </c>
      <c r="Q595" s="1" t="s">
        <v>74</v>
      </c>
      <c r="R595" s="1" t="s">
        <v>74</v>
      </c>
      <c r="S595" s="1" t="s">
        <v>74</v>
      </c>
      <c r="T595" s="1" t="s">
        <v>74</v>
      </c>
      <c r="U595" s="1" t="s">
        <v>74</v>
      </c>
      <c r="V595" s="1" t="s">
        <v>6101</v>
      </c>
      <c r="W595" s="1" t="s">
        <v>74</v>
      </c>
      <c r="X595" s="1" t="s">
        <v>74</v>
      </c>
      <c r="Y595" s="1" t="s">
        <v>74</v>
      </c>
      <c r="Z595" s="1" t="s">
        <v>74</v>
      </c>
      <c r="AA595" s="1" t="s">
        <v>6102</v>
      </c>
      <c r="AB595" s="1" t="s">
        <v>6103</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6104</v>
      </c>
      <c r="AP595" s="1" t="s">
        <v>74</v>
      </c>
      <c r="AQ595" s="1" t="s">
        <v>74</v>
      </c>
      <c r="AR595" s="1" t="s">
        <v>74</v>
      </c>
      <c r="AS595" s="1" t="s">
        <v>74</v>
      </c>
      <c r="AT595" s="1" t="s">
        <v>74</v>
      </c>
      <c r="AU595" s="1">
        <v>2010.0</v>
      </c>
      <c r="AV595" s="1">
        <v>29.0</v>
      </c>
      <c r="AW595" s="1">
        <v>5.0</v>
      </c>
      <c r="AX595" s="1" t="s">
        <v>74</v>
      </c>
      <c r="AY595" s="1" t="s">
        <v>74</v>
      </c>
      <c r="AZ595" s="1" t="s">
        <v>74</v>
      </c>
      <c r="BA595" s="1" t="s">
        <v>74</v>
      </c>
      <c r="BB595" s="1">
        <v>448.0</v>
      </c>
      <c r="BC595" s="1">
        <v>456.0</v>
      </c>
      <c r="BD595" s="1" t="s">
        <v>74</v>
      </c>
      <c r="BE595" s="1" t="s">
        <v>6105</v>
      </c>
      <c r="BF595" s="2" t="str">
        <f>HYPERLINK("http://dx.doi.org/10.1159/000312685","http://dx.doi.org/10.1159/000312685")</f>
        <v>http://dx.doi.org/10.1159/000312685</v>
      </c>
      <c r="BG595" s="1" t="s">
        <v>74</v>
      </c>
      <c r="BH595" s="1" t="s">
        <v>74</v>
      </c>
      <c r="BI595" s="1" t="s">
        <v>74</v>
      </c>
      <c r="BJ595" s="1" t="s">
        <v>74</v>
      </c>
      <c r="BK595" s="1" t="s">
        <v>74</v>
      </c>
      <c r="BL595" s="1" t="s">
        <v>74</v>
      </c>
      <c r="BM595" s="1" t="s">
        <v>74</v>
      </c>
      <c r="BN595" s="1">
        <v>2.0502019E7</v>
      </c>
      <c r="BO595" s="1" t="s">
        <v>74</v>
      </c>
      <c r="BP595" s="1" t="s">
        <v>74</v>
      </c>
      <c r="BQ595" s="1" t="s">
        <v>74</v>
      </c>
      <c r="BR595" s="1" t="s">
        <v>74</v>
      </c>
      <c r="BS595" s="1" t="s">
        <v>6106</v>
      </c>
      <c r="BT595" s="1" t="str">
        <f>HYPERLINK("https%3A%2F%2Fwww.webofscience.com%2Fwos%2Fwoscc%2Ffull-record%2FWOS:000278387800009","View Full Record in Web of Science")</f>
        <v>View Full Record in Web of Science</v>
      </c>
    </row>
    <row r="596" ht="12.75" customHeight="1">
      <c r="A596" s="1" t="s">
        <v>72</v>
      </c>
      <c r="B596" s="1" t="s">
        <v>6107</v>
      </c>
      <c r="C596" s="1" t="s">
        <v>74</v>
      </c>
      <c r="D596" s="1" t="s">
        <v>74</v>
      </c>
      <c r="E596" s="1" t="s">
        <v>74</v>
      </c>
      <c r="F596" s="1" t="s">
        <v>6108</v>
      </c>
      <c r="G596" s="1" t="s">
        <v>74</v>
      </c>
      <c r="H596" s="1" t="s">
        <v>74</v>
      </c>
      <c r="I596" s="1" t="s">
        <v>6109</v>
      </c>
      <c r="J596" s="1" t="s">
        <v>1226</v>
      </c>
      <c r="K596" s="1" t="s">
        <v>74</v>
      </c>
      <c r="L596" s="1" t="s">
        <v>74</v>
      </c>
      <c r="M596" s="1" t="s">
        <v>74</v>
      </c>
      <c r="N596" s="1" t="s">
        <v>74</v>
      </c>
      <c r="O596" s="1" t="s">
        <v>74</v>
      </c>
      <c r="P596" s="1" t="s">
        <v>74</v>
      </c>
      <c r="Q596" s="1" t="s">
        <v>74</v>
      </c>
      <c r="R596" s="1" t="s">
        <v>74</v>
      </c>
      <c r="S596" s="1" t="s">
        <v>74</v>
      </c>
      <c r="T596" s="1" t="s">
        <v>74</v>
      </c>
      <c r="U596" s="1" t="s">
        <v>74</v>
      </c>
      <c r="V596" s="1" t="s">
        <v>6110</v>
      </c>
      <c r="W596" s="1" t="s">
        <v>74</v>
      </c>
      <c r="X596" s="1" t="s">
        <v>74</v>
      </c>
      <c r="Y596" s="1" t="s">
        <v>74</v>
      </c>
      <c r="Z596" s="1" t="s">
        <v>74</v>
      </c>
      <c r="AA596" s="1" t="s">
        <v>6111</v>
      </c>
      <c r="AB596" s="1" t="s">
        <v>6112</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1228</v>
      </c>
      <c r="AP596" s="1" t="s">
        <v>1229</v>
      </c>
      <c r="AQ596" s="1" t="s">
        <v>74</v>
      </c>
      <c r="AR596" s="1" t="s">
        <v>74</v>
      </c>
      <c r="AS596" s="1" t="s">
        <v>74</v>
      </c>
      <c r="AT596" s="1" t="s">
        <v>6113</v>
      </c>
      <c r="AU596" s="1">
        <v>2023.0</v>
      </c>
      <c r="AV596" s="1">
        <v>670.0</v>
      </c>
      <c r="AW596" s="1" t="s">
        <v>74</v>
      </c>
      <c r="AX596" s="1" t="s">
        <v>74</v>
      </c>
      <c r="AY596" s="1" t="s">
        <v>74</v>
      </c>
      <c r="AZ596" s="1" t="s">
        <v>74</v>
      </c>
      <c r="BA596" s="1" t="s">
        <v>74</v>
      </c>
      <c r="BB596" s="1" t="s">
        <v>74</v>
      </c>
      <c r="BC596" s="1" t="s">
        <v>74</v>
      </c>
      <c r="BD596" s="1" t="s">
        <v>6114</v>
      </c>
      <c r="BE596" s="1" t="s">
        <v>6115</v>
      </c>
      <c r="BF596" s="2" t="str">
        <f>HYPERLINK("http://dx.doi.org/10.1051/0004-6361/202245163","http://dx.doi.org/10.1051/0004-6361/202245163")</f>
        <v>http://dx.doi.org/10.1051/0004-6361/202245163</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6116</v>
      </c>
      <c r="BT596" s="1" t="str">
        <f>HYPERLINK("https%3A%2F%2Fwww.webofscience.com%2Fwos%2Fwoscc%2Ffull-record%2FWOS:000931495300009","View Full Record in Web of Science")</f>
        <v>View Full Record in Web of Science</v>
      </c>
    </row>
    <row r="597" ht="12.75" customHeight="1">
      <c r="A597" s="1" t="s">
        <v>72</v>
      </c>
      <c r="B597" s="1" t="s">
        <v>6117</v>
      </c>
      <c r="C597" s="1" t="s">
        <v>74</v>
      </c>
      <c r="D597" s="1" t="s">
        <v>74</v>
      </c>
      <c r="E597" s="1" t="s">
        <v>74</v>
      </c>
      <c r="F597" s="1" t="s">
        <v>6118</v>
      </c>
      <c r="G597" s="1" t="s">
        <v>74</v>
      </c>
      <c r="H597" s="1" t="s">
        <v>74</v>
      </c>
      <c r="I597" s="1" t="s">
        <v>6119</v>
      </c>
      <c r="J597" s="1" t="s">
        <v>329</v>
      </c>
      <c r="K597" s="1" t="s">
        <v>74</v>
      </c>
      <c r="L597" s="1" t="s">
        <v>74</v>
      </c>
      <c r="M597" s="1" t="s">
        <v>74</v>
      </c>
      <c r="N597" s="1" t="s">
        <v>74</v>
      </c>
      <c r="O597" s="1" t="s">
        <v>74</v>
      </c>
      <c r="P597" s="1" t="s">
        <v>74</v>
      </c>
      <c r="Q597" s="1" t="s">
        <v>74</v>
      </c>
      <c r="R597" s="1" t="s">
        <v>74</v>
      </c>
      <c r="S597" s="1" t="s">
        <v>74</v>
      </c>
      <c r="T597" s="1" t="s">
        <v>74</v>
      </c>
      <c r="U597" s="1" t="s">
        <v>74</v>
      </c>
      <c r="V597" s="1" t="s">
        <v>6120</v>
      </c>
      <c r="W597" s="1" t="s">
        <v>74</v>
      </c>
      <c r="X597" s="1" t="s">
        <v>74</v>
      </c>
      <c r="Y597" s="1" t="s">
        <v>74</v>
      </c>
      <c r="Z597" s="1" t="s">
        <v>74</v>
      </c>
      <c r="AA597" s="1" t="s">
        <v>6121</v>
      </c>
      <c r="AB597" s="1" t="s">
        <v>6122</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333</v>
      </c>
      <c r="AP597" s="1" t="s">
        <v>74</v>
      </c>
      <c r="AQ597" s="1" t="s">
        <v>74</v>
      </c>
      <c r="AR597" s="1" t="s">
        <v>74</v>
      </c>
      <c r="AS597" s="1" t="s">
        <v>74</v>
      </c>
      <c r="AT597" s="1" t="s">
        <v>1187</v>
      </c>
      <c r="AU597" s="1">
        <v>2021.0</v>
      </c>
      <c r="AV597" s="1">
        <v>12.0</v>
      </c>
      <c r="AW597" s="1">
        <v>1.0</v>
      </c>
      <c r="AX597" s="1" t="s">
        <v>74</v>
      </c>
      <c r="AY597" s="1" t="s">
        <v>74</v>
      </c>
      <c r="AZ597" s="1" t="s">
        <v>74</v>
      </c>
      <c r="BA597" s="1" t="s">
        <v>74</v>
      </c>
      <c r="BB597" s="1" t="s">
        <v>74</v>
      </c>
      <c r="BC597" s="1" t="s">
        <v>74</v>
      </c>
      <c r="BD597" s="1">
        <v>3439.0</v>
      </c>
      <c r="BE597" s="1" t="s">
        <v>6123</v>
      </c>
      <c r="BF597" s="2" t="str">
        <f>HYPERLINK("http://dx.doi.org/10.1038/s41467-021-23725-5","http://dx.doi.org/10.1038/s41467-021-23725-5")</f>
        <v>http://dx.doi.org/10.1038/s41467-021-23725-5</v>
      </c>
      <c r="BG597" s="1" t="s">
        <v>74</v>
      </c>
      <c r="BH597" s="1" t="s">
        <v>74</v>
      </c>
      <c r="BI597" s="1" t="s">
        <v>74</v>
      </c>
      <c r="BJ597" s="1" t="s">
        <v>74</v>
      </c>
      <c r="BK597" s="1" t="s">
        <v>74</v>
      </c>
      <c r="BL597" s="1" t="s">
        <v>74</v>
      </c>
      <c r="BM597" s="1" t="s">
        <v>74</v>
      </c>
      <c r="BN597" s="1">
        <v>3.4103515E7</v>
      </c>
      <c r="BO597" s="1" t="s">
        <v>74</v>
      </c>
      <c r="BP597" s="1" t="s">
        <v>74</v>
      </c>
      <c r="BQ597" s="1" t="s">
        <v>74</v>
      </c>
      <c r="BR597" s="1" t="s">
        <v>74</v>
      </c>
      <c r="BS597" s="1" t="s">
        <v>6124</v>
      </c>
      <c r="BT597" s="1" t="str">
        <f>HYPERLINK("https%3A%2F%2Fwww.webofscience.com%2Fwos%2Fwoscc%2Ffull-record%2FWOS:000664855200001","View Full Record in Web of Science")</f>
        <v>View Full Record in Web of Science</v>
      </c>
    </row>
    <row r="598" ht="12.75" customHeight="1">
      <c r="A598" s="1" t="s">
        <v>72</v>
      </c>
      <c r="B598" s="1" t="s">
        <v>6125</v>
      </c>
      <c r="C598" s="1" t="s">
        <v>74</v>
      </c>
      <c r="D598" s="1" t="s">
        <v>74</v>
      </c>
      <c r="E598" s="1" t="s">
        <v>74</v>
      </c>
      <c r="F598" s="1" t="s">
        <v>6126</v>
      </c>
      <c r="G598" s="1" t="s">
        <v>74</v>
      </c>
      <c r="H598" s="1" t="s">
        <v>74</v>
      </c>
      <c r="I598" s="1" t="s">
        <v>6127</v>
      </c>
      <c r="J598" s="1" t="s">
        <v>6128</v>
      </c>
      <c r="K598" s="1" t="s">
        <v>74</v>
      </c>
      <c r="L598" s="1" t="s">
        <v>74</v>
      </c>
      <c r="M598" s="1" t="s">
        <v>74</v>
      </c>
      <c r="N598" s="1" t="s">
        <v>74</v>
      </c>
      <c r="O598" s="1" t="s">
        <v>74</v>
      </c>
      <c r="P598" s="1" t="s">
        <v>74</v>
      </c>
      <c r="Q598" s="1" t="s">
        <v>74</v>
      </c>
      <c r="R598" s="1" t="s">
        <v>74</v>
      </c>
      <c r="S598" s="1" t="s">
        <v>74</v>
      </c>
      <c r="T598" s="1" t="s">
        <v>74</v>
      </c>
      <c r="U598" s="1" t="s">
        <v>74</v>
      </c>
      <c r="V598" s="1" t="s">
        <v>6129</v>
      </c>
      <c r="W598" s="1" t="s">
        <v>74</v>
      </c>
      <c r="X598" s="1" t="s">
        <v>74</v>
      </c>
      <c r="Y598" s="1" t="s">
        <v>74</v>
      </c>
      <c r="Z598" s="1" t="s">
        <v>74</v>
      </c>
      <c r="AA598" s="1" t="s">
        <v>6130</v>
      </c>
      <c r="AB598" s="1" t="s">
        <v>6131</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6132</v>
      </c>
      <c r="AP598" s="1" t="s">
        <v>6133</v>
      </c>
      <c r="AQ598" s="1" t="s">
        <v>74</v>
      </c>
      <c r="AR598" s="1" t="s">
        <v>74</v>
      </c>
      <c r="AS598" s="1" t="s">
        <v>74</v>
      </c>
      <c r="AT598" s="1" t="s">
        <v>346</v>
      </c>
      <c r="AU598" s="1">
        <v>2020.0</v>
      </c>
      <c r="AV598" s="1">
        <v>20.0</v>
      </c>
      <c r="AW598" s="1">
        <v>2.0</v>
      </c>
      <c r="AX598" s="1" t="s">
        <v>74</v>
      </c>
      <c r="AY598" s="1" t="s">
        <v>74</v>
      </c>
      <c r="AZ598" s="1" t="s">
        <v>74</v>
      </c>
      <c r="BA598" s="1" t="s">
        <v>74</v>
      </c>
      <c r="BB598" s="1" t="s">
        <v>74</v>
      </c>
      <c r="BC598" s="1" t="s">
        <v>74</v>
      </c>
      <c r="BD598" s="1" t="s">
        <v>6134</v>
      </c>
      <c r="BE598" s="1" t="s">
        <v>6135</v>
      </c>
      <c r="BF598" s="2" t="str">
        <f>HYPERLINK("http://dx.doi.org/10.1093/femsyr/foaa008","http://dx.doi.org/10.1093/femsyr/foaa008")</f>
        <v>http://dx.doi.org/10.1093/femsyr/foaa008</v>
      </c>
      <c r="BG598" s="1" t="s">
        <v>74</v>
      </c>
      <c r="BH598" s="1" t="s">
        <v>74</v>
      </c>
      <c r="BI598" s="1" t="s">
        <v>74</v>
      </c>
      <c r="BJ598" s="1" t="s">
        <v>74</v>
      </c>
      <c r="BK598" s="1" t="s">
        <v>74</v>
      </c>
      <c r="BL598" s="1" t="s">
        <v>74</v>
      </c>
      <c r="BM598" s="1" t="s">
        <v>74</v>
      </c>
      <c r="BN598" s="1">
        <v>3.2009143E7</v>
      </c>
      <c r="BO598" s="1" t="s">
        <v>74</v>
      </c>
      <c r="BP598" s="1" t="s">
        <v>74</v>
      </c>
      <c r="BQ598" s="1" t="s">
        <v>74</v>
      </c>
      <c r="BR598" s="1" t="s">
        <v>74</v>
      </c>
      <c r="BS598" s="1" t="s">
        <v>6136</v>
      </c>
      <c r="BT598" s="1" t="str">
        <f>HYPERLINK("https%3A%2F%2Fwww.webofscience.com%2Fwos%2Fwoscc%2Ffull-record%2FWOS:000536497400003","View Full Record in Web of Science")</f>
        <v>View Full Record in Web of Science</v>
      </c>
    </row>
    <row r="599" ht="12.75" customHeight="1">
      <c r="A599" s="1" t="s">
        <v>72</v>
      </c>
      <c r="B599" s="1" t="s">
        <v>6137</v>
      </c>
      <c r="C599" s="1" t="s">
        <v>74</v>
      </c>
      <c r="D599" s="1" t="s">
        <v>74</v>
      </c>
      <c r="E599" s="1" t="s">
        <v>74</v>
      </c>
      <c r="F599" s="1" t="s">
        <v>6138</v>
      </c>
      <c r="G599" s="1" t="s">
        <v>74</v>
      </c>
      <c r="H599" s="1" t="s">
        <v>74</v>
      </c>
      <c r="I599" s="1" t="s">
        <v>6139</v>
      </c>
      <c r="J599" s="1" t="s">
        <v>329</v>
      </c>
      <c r="K599" s="1" t="s">
        <v>74</v>
      </c>
      <c r="L599" s="1" t="s">
        <v>74</v>
      </c>
      <c r="M599" s="1" t="s">
        <v>74</v>
      </c>
      <c r="N599" s="1" t="s">
        <v>74</v>
      </c>
      <c r="O599" s="1" t="s">
        <v>74</v>
      </c>
      <c r="P599" s="1" t="s">
        <v>74</v>
      </c>
      <c r="Q599" s="1" t="s">
        <v>74</v>
      </c>
      <c r="R599" s="1" t="s">
        <v>74</v>
      </c>
      <c r="S599" s="1" t="s">
        <v>74</v>
      </c>
      <c r="T599" s="1" t="s">
        <v>74</v>
      </c>
      <c r="U599" s="1" t="s">
        <v>74</v>
      </c>
      <c r="V599" s="1" t="s">
        <v>74</v>
      </c>
      <c r="W599" s="1" t="s">
        <v>74</v>
      </c>
      <c r="X599" s="1" t="s">
        <v>74</v>
      </c>
      <c r="Y599" s="1" t="s">
        <v>74</v>
      </c>
      <c r="Z599" s="1" t="s">
        <v>74</v>
      </c>
      <c r="AA599" s="1" t="s">
        <v>6140</v>
      </c>
      <c r="AB599" s="1" t="s">
        <v>6141</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333</v>
      </c>
      <c r="AP599" s="1" t="s">
        <v>74</v>
      </c>
      <c r="AQ599" s="1" t="s">
        <v>74</v>
      </c>
      <c r="AR599" s="1" t="s">
        <v>74</v>
      </c>
      <c r="AS599" s="1" t="s">
        <v>74</v>
      </c>
      <c r="AT599" s="1" t="s">
        <v>6142</v>
      </c>
      <c r="AU599" s="1">
        <v>2019.0</v>
      </c>
      <c r="AV599" s="1">
        <v>10.0</v>
      </c>
      <c r="AW599" s="1" t="s">
        <v>74</v>
      </c>
      <c r="AX599" s="1" t="s">
        <v>74</v>
      </c>
      <c r="AY599" s="1" t="s">
        <v>74</v>
      </c>
      <c r="AZ599" s="1" t="s">
        <v>74</v>
      </c>
      <c r="BA599" s="1" t="s">
        <v>74</v>
      </c>
      <c r="BB599" s="1" t="s">
        <v>74</v>
      </c>
      <c r="BC599" s="1" t="s">
        <v>74</v>
      </c>
      <c r="BD599" s="1">
        <v>3508.0</v>
      </c>
      <c r="BE599" s="1" t="s">
        <v>6143</v>
      </c>
      <c r="BF599" s="2" t="str">
        <f>HYPERLINK("http://dx.doi.org/10.1038/s41467-019-11446-9","http://dx.doi.org/10.1038/s41467-019-11446-9")</f>
        <v>http://dx.doi.org/10.1038/s41467-019-11446-9</v>
      </c>
      <c r="BG599" s="1" t="s">
        <v>74</v>
      </c>
      <c r="BH599" s="1" t="s">
        <v>74</v>
      </c>
      <c r="BI599" s="1" t="s">
        <v>74</v>
      </c>
      <c r="BJ599" s="1" t="s">
        <v>74</v>
      </c>
      <c r="BK599" s="1" t="s">
        <v>74</v>
      </c>
      <c r="BL599" s="1" t="s">
        <v>74</v>
      </c>
      <c r="BM599" s="1" t="s">
        <v>74</v>
      </c>
      <c r="BN599" s="1">
        <v>3.1366976E7</v>
      </c>
      <c r="BO599" s="1" t="s">
        <v>74</v>
      </c>
      <c r="BP599" s="1" t="s">
        <v>74</v>
      </c>
      <c r="BQ599" s="1" t="s">
        <v>74</v>
      </c>
      <c r="BR599" s="1" t="s">
        <v>74</v>
      </c>
      <c r="BS599" s="1" t="s">
        <v>6144</v>
      </c>
      <c r="BT599" s="1" t="str">
        <f>HYPERLINK("https%3A%2F%2Fwww.webofscience.com%2Fwos%2Fwoscc%2Ffull-record%2FWOS:000477953300002","View Full Record in Web of Science")</f>
        <v>View Full Record in Web of Science</v>
      </c>
    </row>
    <row r="600" ht="12.75" customHeight="1">
      <c r="A600" s="1" t="s">
        <v>72</v>
      </c>
      <c r="B600" s="1" t="s">
        <v>6145</v>
      </c>
      <c r="C600" s="1" t="s">
        <v>74</v>
      </c>
      <c r="D600" s="1" t="s">
        <v>74</v>
      </c>
      <c r="E600" s="1" t="s">
        <v>74</v>
      </c>
      <c r="F600" s="1" t="s">
        <v>6146</v>
      </c>
      <c r="G600" s="1" t="s">
        <v>74</v>
      </c>
      <c r="H600" s="1" t="s">
        <v>74</v>
      </c>
      <c r="I600" s="1" t="s">
        <v>6147</v>
      </c>
      <c r="J600" s="1" t="s">
        <v>6148</v>
      </c>
      <c r="K600" s="1" t="s">
        <v>74</v>
      </c>
      <c r="L600" s="1" t="s">
        <v>74</v>
      </c>
      <c r="M600" s="1" t="s">
        <v>74</v>
      </c>
      <c r="N600" s="1" t="s">
        <v>74</v>
      </c>
      <c r="O600" s="1" t="s">
        <v>74</v>
      </c>
      <c r="P600" s="1" t="s">
        <v>74</v>
      </c>
      <c r="Q600" s="1" t="s">
        <v>74</v>
      </c>
      <c r="R600" s="1" t="s">
        <v>74</v>
      </c>
      <c r="S600" s="1" t="s">
        <v>74</v>
      </c>
      <c r="T600" s="1" t="s">
        <v>74</v>
      </c>
      <c r="U600" s="1" t="s">
        <v>74</v>
      </c>
      <c r="V600" s="1" t="s">
        <v>6149</v>
      </c>
      <c r="W600" s="1" t="s">
        <v>74</v>
      </c>
      <c r="X600" s="1" t="s">
        <v>74</v>
      </c>
      <c r="Y600" s="1" t="s">
        <v>74</v>
      </c>
      <c r="Z600" s="1" t="s">
        <v>74</v>
      </c>
      <c r="AA600" s="1" t="s">
        <v>6150</v>
      </c>
      <c r="AB600" s="1" t="s">
        <v>6151</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6152</v>
      </c>
      <c r="AP600" s="1" t="s">
        <v>6153</v>
      </c>
      <c r="AQ600" s="1" t="s">
        <v>74</v>
      </c>
      <c r="AR600" s="1" t="s">
        <v>74</v>
      </c>
      <c r="AS600" s="1" t="s">
        <v>74</v>
      </c>
      <c r="AT600" s="1" t="s">
        <v>214</v>
      </c>
      <c r="AU600" s="1">
        <v>2017.0</v>
      </c>
      <c r="AV600" s="1">
        <v>23.0</v>
      </c>
      <c r="AW600" s="1">
        <v>2.0</v>
      </c>
      <c r="AX600" s="1" t="s">
        <v>74</v>
      </c>
      <c r="AY600" s="1" t="s">
        <v>74</v>
      </c>
      <c r="AZ600" s="1" t="s">
        <v>448</v>
      </c>
      <c r="BA600" s="1" t="s">
        <v>74</v>
      </c>
      <c r="BB600" s="1">
        <v>150.0</v>
      </c>
      <c r="BC600" s="1">
        <v>158.0</v>
      </c>
      <c r="BD600" s="1" t="s">
        <v>74</v>
      </c>
      <c r="BE600" s="1" t="s">
        <v>6154</v>
      </c>
      <c r="BF600" s="2" t="str">
        <f>HYPERLINK("http://dx.doi.org/10.1017/S1355617716000710","http://dx.doi.org/10.1017/S1355617716000710")</f>
        <v>http://dx.doi.org/10.1017/S1355617716000710</v>
      </c>
      <c r="BG600" s="1" t="s">
        <v>74</v>
      </c>
      <c r="BH600" s="1" t="s">
        <v>74</v>
      </c>
      <c r="BI600" s="1" t="s">
        <v>74</v>
      </c>
      <c r="BJ600" s="1" t="s">
        <v>74</v>
      </c>
      <c r="BK600" s="1" t="s">
        <v>74</v>
      </c>
      <c r="BL600" s="1" t="s">
        <v>74</v>
      </c>
      <c r="BM600" s="1" t="s">
        <v>74</v>
      </c>
      <c r="BN600" s="1">
        <v>2.8205494E7</v>
      </c>
      <c r="BO600" s="1" t="s">
        <v>74</v>
      </c>
      <c r="BP600" s="1" t="s">
        <v>74</v>
      </c>
      <c r="BQ600" s="1" t="s">
        <v>74</v>
      </c>
      <c r="BR600" s="1" t="s">
        <v>74</v>
      </c>
      <c r="BS600" s="1" t="s">
        <v>6155</v>
      </c>
      <c r="BT600" s="1" t="str">
        <f>HYPERLINK("https%3A%2F%2Fwww.webofscience.com%2Fwos%2Fwoscc%2Ffull-record%2FWOS:000395507900006","View Full Record in Web of Science")</f>
        <v>View Full Record in Web of Science</v>
      </c>
    </row>
    <row r="601" ht="12.75" customHeight="1">
      <c r="A601" s="1" t="s">
        <v>72</v>
      </c>
      <c r="B601" s="1" t="s">
        <v>1147</v>
      </c>
      <c r="C601" s="1" t="s">
        <v>74</v>
      </c>
      <c r="D601" s="1" t="s">
        <v>74</v>
      </c>
      <c r="E601" s="1" t="s">
        <v>74</v>
      </c>
      <c r="F601" s="1" t="s">
        <v>6156</v>
      </c>
      <c r="G601" s="1" t="s">
        <v>74</v>
      </c>
      <c r="H601" s="1" t="s">
        <v>74</v>
      </c>
      <c r="I601" s="1" t="s">
        <v>6157</v>
      </c>
      <c r="J601" s="1" t="s">
        <v>606</v>
      </c>
      <c r="K601" s="1" t="s">
        <v>74</v>
      </c>
      <c r="L601" s="1" t="s">
        <v>74</v>
      </c>
      <c r="M601" s="1" t="s">
        <v>74</v>
      </c>
      <c r="N601" s="1" t="s">
        <v>74</v>
      </c>
      <c r="O601" s="1" t="s">
        <v>74</v>
      </c>
      <c r="P601" s="1" t="s">
        <v>74</v>
      </c>
      <c r="Q601" s="1" t="s">
        <v>74</v>
      </c>
      <c r="R601" s="1" t="s">
        <v>74</v>
      </c>
      <c r="S601" s="1" t="s">
        <v>74</v>
      </c>
      <c r="T601" s="1" t="s">
        <v>74</v>
      </c>
      <c r="U601" s="1" t="s">
        <v>74</v>
      </c>
      <c r="V601" s="1" t="s">
        <v>6158</v>
      </c>
      <c r="W601" s="1" t="s">
        <v>74</v>
      </c>
      <c r="X601" s="1" t="s">
        <v>74</v>
      </c>
      <c r="Y601" s="1" t="s">
        <v>74</v>
      </c>
      <c r="Z601" s="1" t="s">
        <v>74</v>
      </c>
      <c r="AA601" s="1" t="s">
        <v>6159</v>
      </c>
      <c r="AB601" s="1" t="s">
        <v>6160</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74</v>
      </c>
      <c r="AP601" s="1" t="s">
        <v>610</v>
      </c>
      <c r="AQ601" s="1" t="s">
        <v>74</v>
      </c>
      <c r="AR601" s="1" t="s">
        <v>74</v>
      </c>
      <c r="AS601" s="1" t="s">
        <v>74</v>
      </c>
      <c r="AT601" s="1" t="s">
        <v>74</v>
      </c>
      <c r="AU601" s="1">
        <v>2015.0</v>
      </c>
      <c r="AV601" s="1">
        <v>5.0</v>
      </c>
      <c r="AW601" s="1">
        <v>10.0</v>
      </c>
      <c r="AX601" s="1" t="s">
        <v>74</v>
      </c>
      <c r="AY601" s="1" t="s">
        <v>74</v>
      </c>
      <c r="AZ601" s="1" t="s">
        <v>74</v>
      </c>
      <c r="BA601" s="1" t="s">
        <v>74</v>
      </c>
      <c r="BB601" s="1">
        <v>7112.0</v>
      </c>
      <c r="BC601" s="1">
        <v>7120.0</v>
      </c>
      <c r="BD601" s="1" t="s">
        <v>74</v>
      </c>
      <c r="BE601" s="1" t="s">
        <v>6161</v>
      </c>
      <c r="BF601" s="2" t="str">
        <f>HYPERLINK("http://dx.doi.org/10.1039/c4ra06852a","http://dx.doi.org/10.1039/c4ra06852a")</f>
        <v>http://dx.doi.org/10.1039/c4ra06852a</v>
      </c>
      <c r="BG601" s="1" t="s">
        <v>74</v>
      </c>
      <c r="BH601" s="1" t="s">
        <v>74</v>
      </c>
      <c r="BI601" s="1" t="s">
        <v>74</v>
      </c>
      <c r="BJ601" s="1" t="s">
        <v>74</v>
      </c>
      <c r="BK601" s="1" t="s">
        <v>74</v>
      </c>
      <c r="BL601" s="1" t="s">
        <v>74</v>
      </c>
      <c r="BM601" s="1" t="s">
        <v>74</v>
      </c>
      <c r="BN601" s="1" t="s">
        <v>74</v>
      </c>
      <c r="BO601" s="1" t="s">
        <v>74</v>
      </c>
      <c r="BP601" s="1" t="s">
        <v>74</v>
      </c>
      <c r="BQ601" s="1" t="s">
        <v>74</v>
      </c>
      <c r="BR601" s="1" t="s">
        <v>74</v>
      </c>
      <c r="BS601" s="1" t="s">
        <v>6162</v>
      </c>
      <c r="BT601" s="1" t="str">
        <f>HYPERLINK("https%3A%2F%2Fwww.webofscience.com%2Fwos%2Fwoscc%2Ffull-record%2FWOS:000347609400012","View Full Record in Web of Science")</f>
        <v>View Full Record in Web of Science</v>
      </c>
    </row>
    <row r="602" ht="12.75" customHeight="1">
      <c r="A602" s="1" t="s">
        <v>72</v>
      </c>
      <c r="B602" s="1" t="s">
        <v>6163</v>
      </c>
      <c r="C602" s="1" t="s">
        <v>74</v>
      </c>
      <c r="D602" s="1" t="s">
        <v>74</v>
      </c>
      <c r="E602" s="1" t="s">
        <v>74</v>
      </c>
      <c r="F602" s="1" t="s">
        <v>6164</v>
      </c>
      <c r="G602" s="1" t="s">
        <v>74</v>
      </c>
      <c r="H602" s="1" t="s">
        <v>74</v>
      </c>
      <c r="I602" s="1" t="s">
        <v>6165</v>
      </c>
      <c r="J602" s="1" t="s">
        <v>6166</v>
      </c>
      <c r="K602" s="1" t="s">
        <v>74</v>
      </c>
      <c r="L602" s="1" t="s">
        <v>74</v>
      </c>
      <c r="M602" s="1" t="s">
        <v>74</v>
      </c>
      <c r="N602" s="1" t="s">
        <v>74</v>
      </c>
      <c r="O602" s="1" t="s">
        <v>74</v>
      </c>
      <c r="P602" s="1" t="s">
        <v>74</v>
      </c>
      <c r="Q602" s="1" t="s">
        <v>74</v>
      </c>
      <c r="R602" s="1" t="s">
        <v>74</v>
      </c>
      <c r="S602" s="1" t="s">
        <v>74</v>
      </c>
      <c r="T602" s="1" t="s">
        <v>74</v>
      </c>
      <c r="U602" s="1" t="s">
        <v>74</v>
      </c>
      <c r="V602" s="1" t="s">
        <v>6167</v>
      </c>
      <c r="W602" s="1" t="s">
        <v>74</v>
      </c>
      <c r="X602" s="1" t="s">
        <v>74</v>
      </c>
      <c r="Y602" s="1" t="s">
        <v>74</v>
      </c>
      <c r="Z602" s="1" t="s">
        <v>74</v>
      </c>
      <c r="AA602" s="1" t="s">
        <v>6168</v>
      </c>
      <c r="AB602" s="1" t="s">
        <v>6169</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6170</v>
      </c>
      <c r="AP602" s="1" t="s">
        <v>6171</v>
      </c>
      <c r="AQ602" s="1" t="s">
        <v>74</v>
      </c>
      <c r="AR602" s="1" t="s">
        <v>74</v>
      </c>
      <c r="AS602" s="1" t="s">
        <v>74</v>
      </c>
      <c r="AT602" s="1" t="s">
        <v>426</v>
      </c>
      <c r="AU602" s="1">
        <v>2010.0</v>
      </c>
      <c r="AV602" s="1">
        <v>25.0</v>
      </c>
      <c r="AW602" s="1">
        <v>15.0</v>
      </c>
      <c r="AX602" s="1" t="s">
        <v>74</v>
      </c>
      <c r="AY602" s="1" t="s">
        <v>74</v>
      </c>
      <c r="AZ602" s="1" t="s">
        <v>74</v>
      </c>
      <c r="BA602" s="1" t="s">
        <v>74</v>
      </c>
      <c r="BB602" s="1">
        <v>2665.0</v>
      </c>
      <c r="BC602" s="1">
        <v>2669.0</v>
      </c>
      <c r="BD602" s="1" t="s">
        <v>74</v>
      </c>
      <c r="BE602" s="1" t="s">
        <v>6172</v>
      </c>
      <c r="BF602" s="2" t="str">
        <f>HYPERLINK("http://dx.doi.org/10.1002/mds.23272","http://dx.doi.org/10.1002/mds.23272")</f>
        <v>http://dx.doi.org/10.1002/mds.23272</v>
      </c>
      <c r="BG602" s="1" t="s">
        <v>74</v>
      </c>
      <c r="BH602" s="1" t="s">
        <v>74</v>
      </c>
      <c r="BI602" s="1" t="s">
        <v>74</v>
      </c>
      <c r="BJ602" s="1" t="s">
        <v>74</v>
      </c>
      <c r="BK602" s="1" t="s">
        <v>74</v>
      </c>
      <c r="BL602" s="1" t="s">
        <v>74</v>
      </c>
      <c r="BM602" s="1" t="s">
        <v>74</v>
      </c>
      <c r="BN602" s="1">
        <v>2.0721915E7</v>
      </c>
      <c r="BO602" s="1" t="s">
        <v>74</v>
      </c>
      <c r="BP602" s="1" t="s">
        <v>74</v>
      </c>
      <c r="BQ602" s="1" t="s">
        <v>74</v>
      </c>
      <c r="BR602" s="1" t="s">
        <v>74</v>
      </c>
      <c r="BS602" s="1" t="s">
        <v>6173</v>
      </c>
      <c r="BT602" s="1" t="str">
        <f>HYPERLINK("https%3A%2F%2Fwww.webofscience.com%2Fwos%2Fwoscc%2Ffull-record%2FWOS:000284060600028","View Full Record in Web of Science")</f>
        <v>View Full Record in Web of Science</v>
      </c>
    </row>
    <row r="603" ht="12.75" customHeight="1">
      <c r="A603" s="1" t="s">
        <v>72</v>
      </c>
      <c r="B603" s="1" t="s">
        <v>6174</v>
      </c>
      <c r="C603" s="1" t="s">
        <v>74</v>
      </c>
      <c r="D603" s="1" t="s">
        <v>74</v>
      </c>
      <c r="E603" s="1" t="s">
        <v>74</v>
      </c>
      <c r="F603" s="1" t="s">
        <v>6175</v>
      </c>
      <c r="G603" s="1" t="s">
        <v>74</v>
      </c>
      <c r="H603" s="1" t="s">
        <v>74</v>
      </c>
      <c r="I603" s="1" t="s">
        <v>6176</v>
      </c>
      <c r="J603" s="1" t="s">
        <v>6177</v>
      </c>
      <c r="K603" s="1" t="s">
        <v>74</v>
      </c>
      <c r="L603" s="1" t="s">
        <v>74</v>
      </c>
      <c r="M603" s="1" t="s">
        <v>74</v>
      </c>
      <c r="N603" s="1" t="s">
        <v>74</v>
      </c>
      <c r="O603" s="1" t="s">
        <v>6178</v>
      </c>
      <c r="P603" s="1" t="s">
        <v>6179</v>
      </c>
      <c r="Q603" s="1" t="s">
        <v>6180</v>
      </c>
      <c r="R603" s="1" t="s">
        <v>74</v>
      </c>
      <c r="S603" s="1" t="s">
        <v>74</v>
      </c>
      <c r="T603" s="1" t="s">
        <v>74</v>
      </c>
      <c r="U603" s="1" t="s">
        <v>74</v>
      </c>
      <c r="V603" s="1" t="s">
        <v>6181</v>
      </c>
      <c r="W603" s="1" t="s">
        <v>74</v>
      </c>
      <c r="X603" s="1" t="s">
        <v>74</v>
      </c>
      <c r="Y603" s="1" t="s">
        <v>74</v>
      </c>
      <c r="Z603" s="1" t="s">
        <v>74</v>
      </c>
      <c r="AA603" s="1" t="s">
        <v>6182</v>
      </c>
      <c r="AB603" s="1" t="s">
        <v>6183</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6184</v>
      </c>
      <c r="AP603" s="1" t="s">
        <v>6185</v>
      </c>
      <c r="AQ603" s="1" t="s">
        <v>74</v>
      </c>
      <c r="AR603" s="1" t="s">
        <v>74</v>
      </c>
      <c r="AS603" s="1" t="s">
        <v>74</v>
      </c>
      <c r="AT603" s="1" t="s">
        <v>576</v>
      </c>
      <c r="AU603" s="1">
        <v>2006.0</v>
      </c>
      <c r="AV603" s="1">
        <v>569.0</v>
      </c>
      <c r="AW603" s="1">
        <v>2.0</v>
      </c>
      <c r="AX603" s="1" t="s">
        <v>74</v>
      </c>
      <c r="AY603" s="1" t="s">
        <v>74</v>
      </c>
      <c r="AZ603" s="1" t="s">
        <v>448</v>
      </c>
      <c r="BA603" s="1" t="s">
        <v>74</v>
      </c>
      <c r="BB603" s="1">
        <v>341.0</v>
      </c>
      <c r="BC603" s="1">
        <v>345.0</v>
      </c>
      <c r="BD603" s="1" t="s">
        <v>74</v>
      </c>
      <c r="BE603" s="1" t="s">
        <v>6186</v>
      </c>
      <c r="BF603" s="2" t="str">
        <f>HYPERLINK("http://dx.doi.org/10.1016/j.nima.2006.08.070","http://dx.doi.org/10.1016/j.nima.2006.08.070")</f>
        <v>http://dx.doi.org/10.1016/j.nima.2006.08.070</v>
      </c>
      <c r="BG603" s="1" t="s">
        <v>74</v>
      </c>
      <c r="BH603" s="1" t="s">
        <v>74</v>
      </c>
      <c r="BI603" s="1" t="s">
        <v>74</v>
      </c>
      <c r="BJ603" s="1" t="s">
        <v>74</v>
      </c>
      <c r="BK603" s="1" t="s">
        <v>74</v>
      </c>
      <c r="BL603" s="1" t="s">
        <v>74</v>
      </c>
      <c r="BM603" s="1" t="s">
        <v>74</v>
      </c>
      <c r="BN603" s="1" t="s">
        <v>74</v>
      </c>
      <c r="BO603" s="1" t="s">
        <v>74</v>
      </c>
      <c r="BP603" s="1" t="s">
        <v>74</v>
      </c>
      <c r="BQ603" s="1" t="s">
        <v>74</v>
      </c>
      <c r="BR603" s="1" t="s">
        <v>74</v>
      </c>
      <c r="BS603" s="1" t="s">
        <v>6187</v>
      </c>
      <c r="BT603" s="1" t="str">
        <f>HYPERLINK("https%3A%2F%2Fwww.webofscience.com%2Fwos%2Fwoscc%2Ffull-record%2FWOS:000243241300042","View Full Record in Web of Science")</f>
        <v>View Full Record in Web of Science</v>
      </c>
    </row>
    <row r="604" ht="12.75" customHeight="1">
      <c r="A604" s="1" t="s">
        <v>72</v>
      </c>
      <c r="B604" s="1" t="s">
        <v>6188</v>
      </c>
      <c r="C604" s="1" t="s">
        <v>74</v>
      </c>
      <c r="D604" s="1" t="s">
        <v>74</v>
      </c>
      <c r="E604" s="1" t="s">
        <v>74</v>
      </c>
      <c r="F604" s="1" t="s">
        <v>6189</v>
      </c>
      <c r="G604" s="1" t="s">
        <v>74</v>
      </c>
      <c r="H604" s="1" t="s">
        <v>74</v>
      </c>
      <c r="I604" s="1" t="s">
        <v>6190</v>
      </c>
      <c r="J604" s="1" t="s">
        <v>5093</v>
      </c>
      <c r="K604" s="1" t="s">
        <v>74</v>
      </c>
      <c r="L604" s="1" t="s">
        <v>74</v>
      </c>
      <c r="M604" s="1" t="s">
        <v>74</v>
      </c>
      <c r="N604" s="1" t="s">
        <v>74</v>
      </c>
      <c r="O604" s="1" t="s">
        <v>74</v>
      </c>
      <c r="P604" s="1" t="s">
        <v>74</v>
      </c>
      <c r="Q604" s="1" t="s">
        <v>74</v>
      </c>
      <c r="R604" s="1" t="s">
        <v>74</v>
      </c>
      <c r="S604" s="1" t="s">
        <v>74</v>
      </c>
      <c r="T604" s="1" t="s">
        <v>74</v>
      </c>
      <c r="U604" s="1" t="s">
        <v>74</v>
      </c>
      <c r="V604" s="1" t="s">
        <v>6191</v>
      </c>
      <c r="W604" s="1" t="s">
        <v>74</v>
      </c>
      <c r="X604" s="1" t="s">
        <v>74</v>
      </c>
      <c r="Y604" s="1" t="s">
        <v>74</v>
      </c>
      <c r="Z604" s="1" t="s">
        <v>74</v>
      </c>
      <c r="AA604" s="1" t="s">
        <v>6192</v>
      </c>
      <c r="AB604" s="1" t="s">
        <v>6193</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5097</v>
      </c>
      <c r="AP604" s="1" t="s">
        <v>74</v>
      </c>
      <c r="AQ604" s="1" t="s">
        <v>74</v>
      </c>
      <c r="AR604" s="1" t="s">
        <v>74</v>
      </c>
      <c r="AS604" s="1" t="s">
        <v>74</v>
      </c>
      <c r="AT604" s="1" t="s">
        <v>264</v>
      </c>
      <c r="AU604" s="1">
        <v>2025.0</v>
      </c>
      <c r="AV604" s="1">
        <v>43.0</v>
      </c>
      <c r="AW604" s="1" t="s">
        <v>74</v>
      </c>
      <c r="AX604" s="1" t="s">
        <v>74</v>
      </c>
      <c r="AY604" s="1" t="s">
        <v>74</v>
      </c>
      <c r="AZ604" s="1" t="s">
        <v>74</v>
      </c>
      <c r="BA604" s="1" t="s">
        <v>74</v>
      </c>
      <c r="BB604" s="1" t="s">
        <v>74</v>
      </c>
      <c r="BC604" s="1" t="s">
        <v>74</v>
      </c>
      <c r="BD604" s="1">
        <v>102482.0</v>
      </c>
      <c r="BE604" s="1" t="s">
        <v>6194</v>
      </c>
      <c r="BF604" s="2" t="str">
        <f>HYPERLINK("http://dx.doi.org/10.1016/j.mtchem.2024.102482","http://dx.doi.org/10.1016/j.mtchem.2024.102482")</f>
        <v>http://dx.doi.org/10.1016/j.mtchem.2024.102482</v>
      </c>
      <c r="BG604" s="1" t="s">
        <v>74</v>
      </c>
      <c r="BH604" s="1" t="s">
        <v>228</v>
      </c>
      <c r="BI604" s="1" t="s">
        <v>74</v>
      </c>
      <c r="BJ604" s="1" t="s">
        <v>74</v>
      </c>
      <c r="BK604" s="1" t="s">
        <v>74</v>
      </c>
      <c r="BL604" s="1" t="s">
        <v>74</v>
      </c>
      <c r="BM604" s="1" t="s">
        <v>74</v>
      </c>
      <c r="BN604" s="1" t="s">
        <v>74</v>
      </c>
      <c r="BO604" s="1" t="s">
        <v>74</v>
      </c>
      <c r="BP604" s="1" t="s">
        <v>74</v>
      </c>
      <c r="BQ604" s="1" t="s">
        <v>74</v>
      </c>
      <c r="BR604" s="1" t="s">
        <v>74</v>
      </c>
      <c r="BS604" s="1" t="s">
        <v>6195</v>
      </c>
      <c r="BT604" s="1" t="str">
        <f>HYPERLINK("https%3A%2F%2Fwww.webofscience.com%2Fwos%2Fwoscc%2Ffull-record%2FWOS:001396259900001","View Full Record in Web of Science")</f>
        <v>View Full Record in Web of Science</v>
      </c>
    </row>
    <row r="605" ht="12.75" customHeight="1">
      <c r="A605" s="1" t="s">
        <v>72</v>
      </c>
      <c r="B605" s="1" t="s">
        <v>6196</v>
      </c>
      <c r="C605" s="1" t="s">
        <v>74</v>
      </c>
      <c r="D605" s="1" t="s">
        <v>74</v>
      </c>
      <c r="E605" s="1" t="s">
        <v>74</v>
      </c>
      <c r="F605" s="1" t="s">
        <v>6197</v>
      </c>
      <c r="G605" s="1" t="s">
        <v>74</v>
      </c>
      <c r="H605" s="1" t="s">
        <v>74</v>
      </c>
      <c r="I605" s="1" t="s">
        <v>6198</v>
      </c>
      <c r="J605" s="1" t="s">
        <v>6199</v>
      </c>
      <c r="K605" s="1" t="s">
        <v>74</v>
      </c>
      <c r="L605" s="1" t="s">
        <v>74</v>
      </c>
      <c r="M605" s="1" t="s">
        <v>74</v>
      </c>
      <c r="N605" s="1" t="s">
        <v>74</v>
      </c>
      <c r="O605" s="1" t="s">
        <v>6200</v>
      </c>
      <c r="P605" s="1" t="s">
        <v>6201</v>
      </c>
      <c r="Q605" s="1" t="s">
        <v>6202</v>
      </c>
      <c r="R605" s="1" t="s">
        <v>6203</v>
      </c>
      <c r="S605" s="1" t="s">
        <v>74</v>
      </c>
      <c r="T605" s="1" t="s">
        <v>74</v>
      </c>
      <c r="U605" s="1" t="s">
        <v>74</v>
      </c>
      <c r="V605" s="1" t="s">
        <v>74</v>
      </c>
      <c r="W605" s="1" t="s">
        <v>74</v>
      </c>
      <c r="X605" s="1" t="s">
        <v>74</v>
      </c>
      <c r="Y605" s="1" t="s">
        <v>74</v>
      </c>
      <c r="Z605" s="1" t="s">
        <v>74</v>
      </c>
      <c r="AA605" s="1" t="s">
        <v>6204</v>
      </c>
      <c r="AB605" s="1" t="s">
        <v>74</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6205</v>
      </c>
      <c r="AP605" s="1" t="s">
        <v>6206</v>
      </c>
      <c r="AQ605" s="1" t="s">
        <v>74</v>
      </c>
      <c r="AR605" s="1" t="s">
        <v>74</v>
      </c>
      <c r="AS605" s="1" t="s">
        <v>74</v>
      </c>
      <c r="AT605" s="1" t="s">
        <v>6207</v>
      </c>
      <c r="AU605" s="1">
        <v>2023.0</v>
      </c>
      <c r="AV605" s="1">
        <v>210.0</v>
      </c>
      <c r="AW605" s="1">
        <v>1.0</v>
      </c>
      <c r="AX605" s="1" t="s">
        <v>74</v>
      </c>
      <c r="AY605" s="1" t="s">
        <v>1303</v>
      </c>
      <c r="AZ605" s="1" t="s">
        <v>74</v>
      </c>
      <c r="BA605" s="1" t="s">
        <v>74</v>
      </c>
      <c r="BB605" s="1" t="s">
        <v>74</v>
      </c>
      <c r="BC605" s="1" t="s">
        <v>74</v>
      </c>
      <c r="BD605" s="1" t="s">
        <v>74</v>
      </c>
      <c r="BE605" s="1" t="s">
        <v>74</v>
      </c>
      <c r="BF605" s="1" t="s">
        <v>74</v>
      </c>
      <c r="BG605" s="1" t="s">
        <v>74</v>
      </c>
      <c r="BH605" s="1" t="s">
        <v>74</v>
      </c>
      <c r="BI605" s="1" t="s">
        <v>74</v>
      </c>
      <c r="BJ605" s="1" t="s">
        <v>74</v>
      </c>
      <c r="BK605" s="1" t="s">
        <v>74</v>
      </c>
      <c r="BL605" s="1" t="s">
        <v>74</v>
      </c>
      <c r="BM605" s="1" t="s">
        <v>74</v>
      </c>
      <c r="BN605" s="1" t="s">
        <v>74</v>
      </c>
      <c r="BO605" s="1" t="s">
        <v>74</v>
      </c>
      <c r="BP605" s="1" t="s">
        <v>74</v>
      </c>
      <c r="BQ605" s="1" t="s">
        <v>74</v>
      </c>
      <c r="BR605" s="1" t="s">
        <v>74</v>
      </c>
      <c r="BS605" s="1" t="s">
        <v>6208</v>
      </c>
      <c r="BT605" s="1" t="str">
        <f>HYPERLINK("https%3A%2F%2Fwww.webofscience.com%2Fwos%2Fwoscc%2Ffull-record%2FWOS:001106506502308","View Full Record in Web of Science")</f>
        <v>View Full Record in Web of Science</v>
      </c>
    </row>
    <row r="606" ht="12.75" customHeight="1">
      <c r="A606" s="1" t="s">
        <v>72</v>
      </c>
      <c r="B606" s="1" t="s">
        <v>6209</v>
      </c>
      <c r="C606" s="1" t="s">
        <v>74</v>
      </c>
      <c r="D606" s="1" t="s">
        <v>74</v>
      </c>
      <c r="E606" s="1" t="s">
        <v>74</v>
      </c>
      <c r="F606" s="1" t="s">
        <v>6210</v>
      </c>
      <c r="G606" s="1" t="s">
        <v>74</v>
      </c>
      <c r="H606" s="1" t="s">
        <v>74</v>
      </c>
      <c r="I606" s="1" t="s">
        <v>6211</v>
      </c>
      <c r="J606" s="1" t="s">
        <v>6212</v>
      </c>
      <c r="K606" s="1" t="s">
        <v>74</v>
      </c>
      <c r="L606" s="1" t="s">
        <v>74</v>
      </c>
      <c r="M606" s="1" t="s">
        <v>74</v>
      </c>
      <c r="N606" s="1" t="s">
        <v>74</v>
      </c>
      <c r="O606" s="1" t="s">
        <v>74</v>
      </c>
      <c r="P606" s="1" t="s">
        <v>74</v>
      </c>
      <c r="Q606" s="1" t="s">
        <v>74</v>
      </c>
      <c r="R606" s="1" t="s">
        <v>74</v>
      </c>
      <c r="S606" s="1" t="s">
        <v>74</v>
      </c>
      <c r="T606" s="1" t="s">
        <v>74</v>
      </c>
      <c r="U606" s="1" t="s">
        <v>74</v>
      </c>
      <c r="V606" s="1" t="s">
        <v>6213</v>
      </c>
      <c r="W606" s="1" t="s">
        <v>74</v>
      </c>
      <c r="X606" s="1" t="s">
        <v>74</v>
      </c>
      <c r="Y606" s="1" t="s">
        <v>74</v>
      </c>
      <c r="Z606" s="1" t="s">
        <v>74</v>
      </c>
      <c r="AA606" s="1" t="s">
        <v>6214</v>
      </c>
      <c r="AB606" s="1" t="s">
        <v>4140</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6215</v>
      </c>
      <c r="AP606" s="1" t="s">
        <v>6216</v>
      </c>
      <c r="AQ606" s="1" t="s">
        <v>74</v>
      </c>
      <c r="AR606" s="1" t="s">
        <v>74</v>
      </c>
      <c r="AS606" s="1" t="s">
        <v>74</v>
      </c>
      <c r="AT606" s="1" t="s">
        <v>334</v>
      </c>
      <c r="AU606" s="1">
        <v>2022.0</v>
      </c>
      <c r="AV606" s="1">
        <v>367.0</v>
      </c>
      <c r="AW606" s="1">
        <v>10.0</v>
      </c>
      <c r="AX606" s="1" t="s">
        <v>74</v>
      </c>
      <c r="AY606" s="1" t="s">
        <v>74</v>
      </c>
      <c r="AZ606" s="1" t="s">
        <v>74</v>
      </c>
      <c r="BA606" s="1" t="s">
        <v>74</v>
      </c>
      <c r="BB606" s="1" t="s">
        <v>74</v>
      </c>
      <c r="BC606" s="1" t="s">
        <v>74</v>
      </c>
      <c r="BD606" s="1">
        <v>104.0</v>
      </c>
      <c r="BE606" s="1" t="s">
        <v>6217</v>
      </c>
      <c r="BF606" s="2" t="str">
        <f>HYPERLINK("http://dx.doi.org/10.1007/s10509-022-04116-8","http://dx.doi.org/10.1007/s10509-022-04116-8")</f>
        <v>http://dx.doi.org/10.1007/s10509-022-04116-8</v>
      </c>
      <c r="BG606" s="1" t="s">
        <v>74</v>
      </c>
      <c r="BH606" s="1" t="s">
        <v>74</v>
      </c>
      <c r="BI606" s="1" t="s">
        <v>74</v>
      </c>
      <c r="BJ606" s="1" t="s">
        <v>74</v>
      </c>
      <c r="BK606" s="1" t="s">
        <v>74</v>
      </c>
      <c r="BL606" s="1" t="s">
        <v>74</v>
      </c>
      <c r="BM606" s="1" t="s">
        <v>74</v>
      </c>
      <c r="BN606" s="1" t="s">
        <v>74</v>
      </c>
      <c r="BO606" s="1" t="s">
        <v>74</v>
      </c>
      <c r="BP606" s="1" t="s">
        <v>74</v>
      </c>
      <c r="BQ606" s="1" t="s">
        <v>74</v>
      </c>
      <c r="BR606" s="1" t="s">
        <v>74</v>
      </c>
      <c r="BS606" s="1" t="s">
        <v>6218</v>
      </c>
      <c r="BT606" s="1" t="str">
        <f>HYPERLINK("https%3A%2F%2Fwww.webofscience.com%2Fwos%2Fwoscc%2Ffull-record%2FWOS:000864638700001","View Full Record in Web of Science")</f>
        <v>View Full Record in Web of Science</v>
      </c>
    </row>
    <row r="607" ht="12.75" customHeight="1">
      <c r="A607" s="1" t="s">
        <v>72</v>
      </c>
      <c r="B607" s="1" t="s">
        <v>6219</v>
      </c>
      <c r="C607" s="1" t="s">
        <v>74</v>
      </c>
      <c r="D607" s="1" t="s">
        <v>74</v>
      </c>
      <c r="E607" s="1" t="s">
        <v>74</v>
      </c>
      <c r="F607" s="1" t="s">
        <v>6220</v>
      </c>
      <c r="G607" s="1" t="s">
        <v>74</v>
      </c>
      <c r="H607" s="1" t="s">
        <v>74</v>
      </c>
      <c r="I607" s="1" t="s">
        <v>6221</v>
      </c>
      <c r="J607" s="1" t="s">
        <v>4781</v>
      </c>
      <c r="K607" s="1" t="s">
        <v>74</v>
      </c>
      <c r="L607" s="1" t="s">
        <v>74</v>
      </c>
      <c r="M607" s="1" t="s">
        <v>74</v>
      </c>
      <c r="N607" s="1" t="s">
        <v>74</v>
      </c>
      <c r="O607" s="1" t="s">
        <v>74</v>
      </c>
      <c r="P607" s="1" t="s">
        <v>74</v>
      </c>
      <c r="Q607" s="1" t="s">
        <v>74</v>
      </c>
      <c r="R607" s="1" t="s">
        <v>74</v>
      </c>
      <c r="S607" s="1" t="s">
        <v>74</v>
      </c>
      <c r="T607" s="1" t="s">
        <v>74</v>
      </c>
      <c r="U607" s="1" t="s">
        <v>74</v>
      </c>
      <c r="V607" s="1" t="s">
        <v>6222</v>
      </c>
      <c r="W607" s="1" t="s">
        <v>74</v>
      </c>
      <c r="X607" s="1" t="s">
        <v>74</v>
      </c>
      <c r="Y607" s="1" t="s">
        <v>74</v>
      </c>
      <c r="Z607" s="1" t="s">
        <v>74</v>
      </c>
      <c r="AA607" s="1" t="s">
        <v>6223</v>
      </c>
      <c r="AB607" s="1" t="s">
        <v>6224</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4785</v>
      </c>
      <c r="AP607" s="1" t="s">
        <v>4786</v>
      </c>
      <c r="AQ607" s="1" t="s">
        <v>74</v>
      </c>
      <c r="AR607" s="1" t="s">
        <v>74</v>
      </c>
      <c r="AS607" s="1" t="s">
        <v>74</v>
      </c>
      <c r="AT607" s="1" t="s">
        <v>3264</v>
      </c>
      <c r="AU607" s="1">
        <v>2021.0</v>
      </c>
      <c r="AV607" s="1">
        <v>23.0</v>
      </c>
      <c r="AW607" s="1">
        <v>43.0</v>
      </c>
      <c r="AX607" s="1" t="s">
        <v>74</v>
      </c>
      <c r="AY607" s="1" t="s">
        <v>74</v>
      </c>
      <c r="AZ607" s="1" t="s">
        <v>74</v>
      </c>
      <c r="BA607" s="1" t="s">
        <v>74</v>
      </c>
      <c r="BB607" s="1">
        <v>24545.0</v>
      </c>
      <c r="BC607" s="1">
        <v>24549.0</v>
      </c>
      <c r="BD607" s="1" t="s">
        <v>74</v>
      </c>
      <c r="BE607" s="1" t="s">
        <v>6225</v>
      </c>
      <c r="BF607" s="2" t="str">
        <f>HYPERLINK("http://dx.doi.org/10.1039/d1cp04398f","http://dx.doi.org/10.1039/d1cp04398f")</f>
        <v>http://dx.doi.org/10.1039/d1cp04398f</v>
      </c>
      <c r="BG607" s="1" t="s">
        <v>74</v>
      </c>
      <c r="BH607" s="1" t="s">
        <v>2840</v>
      </c>
      <c r="BI607" s="1" t="s">
        <v>74</v>
      </c>
      <c r="BJ607" s="1" t="s">
        <v>74</v>
      </c>
      <c r="BK607" s="1" t="s">
        <v>74</v>
      </c>
      <c r="BL607" s="1" t="s">
        <v>74</v>
      </c>
      <c r="BM607" s="1" t="s">
        <v>74</v>
      </c>
      <c r="BN607" s="1">
        <v>3.4704576E7</v>
      </c>
      <c r="BO607" s="1" t="s">
        <v>74</v>
      </c>
      <c r="BP607" s="1" t="s">
        <v>74</v>
      </c>
      <c r="BQ607" s="1" t="s">
        <v>74</v>
      </c>
      <c r="BR607" s="1" t="s">
        <v>74</v>
      </c>
      <c r="BS607" s="1" t="s">
        <v>6226</v>
      </c>
      <c r="BT607" s="1" t="str">
        <f>HYPERLINK("https%3A%2F%2Fwww.webofscience.com%2Fwos%2Fwoscc%2Ffull-record%2FWOS:000711538700001","View Full Record in Web of Science")</f>
        <v>View Full Record in Web of Science</v>
      </c>
    </row>
    <row r="608" ht="12.75" customHeight="1">
      <c r="A608" s="1" t="s">
        <v>72</v>
      </c>
      <c r="B608" s="1" t="s">
        <v>6227</v>
      </c>
      <c r="C608" s="1" t="s">
        <v>74</v>
      </c>
      <c r="D608" s="1" t="s">
        <v>74</v>
      </c>
      <c r="E608" s="1" t="s">
        <v>74</v>
      </c>
      <c r="F608" s="1" t="s">
        <v>6228</v>
      </c>
      <c r="G608" s="1" t="s">
        <v>74</v>
      </c>
      <c r="H608" s="1" t="s">
        <v>74</v>
      </c>
      <c r="I608" s="1" t="s">
        <v>6229</v>
      </c>
      <c r="J608" s="1" t="s">
        <v>2502</v>
      </c>
      <c r="K608" s="1" t="s">
        <v>74</v>
      </c>
      <c r="L608" s="1" t="s">
        <v>74</v>
      </c>
      <c r="M608" s="1" t="s">
        <v>74</v>
      </c>
      <c r="N608" s="1" t="s">
        <v>74</v>
      </c>
      <c r="O608" s="1" t="s">
        <v>74</v>
      </c>
      <c r="P608" s="1" t="s">
        <v>74</v>
      </c>
      <c r="Q608" s="1" t="s">
        <v>74</v>
      </c>
      <c r="R608" s="1" t="s">
        <v>74</v>
      </c>
      <c r="S608" s="1" t="s">
        <v>74</v>
      </c>
      <c r="T608" s="1" t="s">
        <v>74</v>
      </c>
      <c r="U608" s="1" t="s">
        <v>74</v>
      </c>
      <c r="V608" s="1" t="s">
        <v>6230</v>
      </c>
      <c r="W608" s="1" t="s">
        <v>74</v>
      </c>
      <c r="X608" s="1" t="s">
        <v>74</v>
      </c>
      <c r="Y608" s="1" t="s">
        <v>74</v>
      </c>
      <c r="Z608" s="1" t="s">
        <v>74</v>
      </c>
      <c r="AA608" s="1" t="s">
        <v>6231</v>
      </c>
      <c r="AB608" s="1" t="s">
        <v>6232</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2506</v>
      </c>
      <c r="AP608" s="1" t="s">
        <v>2507</v>
      </c>
      <c r="AQ608" s="1" t="s">
        <v>74</v>
      </c>
      <c r="AR608" s="1" t="s">
        <v>74</v>
      </c>
      <c r="AS608" s="1" t="s">
        <v>74</v>
      </c>
      <c r="AT608" s="1" t="s">
        <v>4958</v>
      </c>
      <c r="AU608" s="1">
        <v>2016.0</v>
      </c>
      <c r="AV608" s="1">
        <v>22.0</v>
      </c>
      <c r="AW608" s="1">
        <v>36.0</v>
      </c>
      <c r="AX608" s="1" t="s">
        <v>74</v>
      </c>
      <c r="AY608" s="1" t="s">
        <v>74</v>
      </c>
      <c r="AZ608" s="1" t="s">
        <v>74</v>
      </c>
      <c r="BA608" s="1" t="s">
        <v>74</v>
      </c>
      <c r="BB608" s="1">
        <v>12808.0</v>
      </c>
      <c r="BC608" s="1">
        <v>12818.0</v>
      </c>
      <c r="BD608" s="1" t="s">
        <v>74</v>
      </c>
      <c r="BE608" s="1" t="s">
        <v>6233</v>
      </c>
      <c r="BF608" s="2" t="str">
        <f>HYPERLINK("http://dx.doi.org/10.1002/chem.201601187","http://dx.doi.org/10.1002/chem.201601187")</f>
        <v>http://dx.doi.org/10.1002/chem.201601187</v>
      </c>
      <c r="BG608" s="1" t="s">
        <v>74</v>
      </c>
      <c r="BH608" s="1" t="s">
        <v>74</v>
      </c>
      <c r="BI608" s="1" t="s">
        <v>74</v>
      </c>
      <c r="BJ608" s="1" t="s">
        <v>74</v>
      </c>
      <c r="BK608" s="1" t="s">
        <v>74</v>
      </c>
      <c r="BL608" s="1" t="s">
        <v>74</v>
      </c>
      <c r="BM608" s="1" t="s">
        <v>74</v>
      </c>
      <c r="BN608" s="1">
        <v>2.7458818E7</v>
      </c>
      <c r="BO608" s="1" t="s">
        <v>74</v>
      </c>
      <c r="BP608" s="1" t="s">
        <v>74</v>
      </c>
      <c r="BQ608" s="1" t="s">
        <v>74</v>
      </c>
      <c r="BR608" s="1" t="s">
        <v>74</v>
      </c>
      <c r="BS608" s="1" t="s">
        <v>6234</v>
      </c>
      <c r="BT608" s="1" t="str">
        <f>HYPERLINK("https%3A%2F%2Fwww.webofscience.com%2Fwos%2Fwoscc%2Ffull-record%2FWOS:000383758200035","View Full Record in Web of Science")</f>
        <v>View Full Record in Web of Science</v>
      </c>
    </row>
    <row r="609" ht="12.75" customHeight="1">
      <c r="A609" s="1" t="s">
        <v>72</v>
      </c>
      <c r="B609" s="1" t="s">
        <v>6235</v>
      </c>
      <c r="C609" s="1" t="s">
        <v>74</v>
      </c>
      <c r="D609" s="1" t="s">
        <v>74</v>
      </c>
      <c r="E609" s="1" t="s">
        <v>74</v>
      </c>
      <c r="F609" s="1" t="s">
        <v>6236</v>
      </c>
      <c r="G609" s="1" t="s">
        <v>74</v>
      </c>
      <c r="H609" s="1" t="s">
        <v>74</v>
      </c>
      <c r="I609" s="1" t="s">
        <v>6237</v>
      </c>
      <c r="J609" s="1" t="s">
        <v>596</v>
      </c>
      <c r="K609" s="1" t="s">
        <v>74</v>
      </c>
      <c r="L609" s="1" t="s">
        <v>74</v>
      </c>
      <c r="M609" s="1" t="s">
        <v>74</v>
      </c>
      <c r="N609" s="1" t="s">
        <v>74</v>
      </c>
      <c r="O609" s="1" t="s">
        <v>74</v>
      </c>
      <c r="P609" s="1" t="s">
        <v>74</v>
      </c>
      <c r="Q609" s="1" t="s">
        <v>74</v>
      </c>
      <c r="R609" s="1" t="s">
        <v>74</v>
      </c>
      <c r="S609" s="1" t="s">
        <v>74</v>
      </c>
      <c r="T609" s="1" t="s">
        <v>74</v>
      </c>
      <c r="U609" s="1" t="s">
        <v>74</v>
      </c>
      <c r="V609" s="1" t="s">
        <v>6238</v>
      </c>
      <c r="W609" s="1" t="s">
        <v>74</v>
      </c>
      <c r="X609" s="1" t="s">
        <v>74</v>
      </c>
      <c r="Y609" s="1" t="s">
        <v>74</v>
      </c>
      <c r="Z609" s="1" t="s">
        <v>74</v>
      </c>
      <c r="AA609" s="1" t="s">
        <v>6239</v>
      </c>
      <c r="AB609" s="1" t="s">
        <v>6240</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74</v>
      </c>
      <c r="AP609" s="1" t="s">
        <v>600</v>
      </c>
      <c r="AQ609" s="1" t="s">
        <v>74</v>
      </c>
      <c r="AR609" s="1" t="s">
        <v>74</v>
      </c>
      <c r="AS609" s="1" t="s">
        <v>74</v>
      </c>
      <c r="AT609" s="1" t="s">
        <v>6241</v>
      </c>
      <c r="AU609" s="1">
        <v>2023.0</v>
      </c>
      <c r="AV609" s="1">
        <v>15.0</v>
      </c>
      <c r="AW609" s="1">
        <v>9.0</v>
      </c>
      <c r="AX609" s="1" t="s">
        <v>74</v>
      </c>
      <c r="AY609" s="1" t="s">
        <v>74</v>
      </c>
      <c r="AZ609" s="1" t="s">
        <v>74</v>
      </c>
      <c r="BA609" s="1" t="s">
        <v>74</v>
      </c>
      <c r="BB609" s="1" t="s">
        <v>74</v>
      </c>
      <c r="BC609" s="1" t="s">
        <v>74</v>
      </c>
      <c r="BD609" s="1">
        <v>2197.0</v>
      </c>
      <c r="BE609" s="1" t="s">
        <v>6242</v>
      </c>
      <c r="BF609" s="2" t="str">
        <f>HYPERLINK("http://dx.doi.org/10.3390/polym15092197","http://dx.doi.org/10.3390/polym15092197")</f>
        <v>http://dx.doi.org/10.3390/polym15092197</v>
      </c>
      <c r="BG609" s="1" t="s">
        <v>74</v>
      </c>
      <c r="BH609" s="1" t="s">
        <v>74</v>
      </c>
      <c r="BI609" s="1" t="s">
        <v>74</v>
      </c>
      <c r="BJ609" s="1" t="s">
        <v>74</v>
      </c>
      <c r="BK609" s="1" t="s">
        <v>74</v>
      </c>
      <c r="BL609" s="1" t="s">
        <v>74</v>
      </c>
      <c r="BM609" s="1" t="s">
        <v>74</v>
      </c>
      <c r="BN609" s="1">
        <v>3.7177343E7</v>
      </c>
      <c r="BO609" s="1" t="s">
        <v>74</v>
      </c>
      <c r="BP609" s="1" t="s">
        <v>74</v>
      </c>
      <c r="BQ609" s="1" t="s">
        <v>74</v>
      </c>
      <c r="BR609" s="1" t="s">
        <v>74</v>
      </c>
      <c r="BS609" s="1" t="s">
        <v>6243</v>
      </c>
      <c r="BT609" s="1" t="str">
        <f>HYPERLINK("https%3A%2F%2Fwww.webofscience.com%2Fwos%2Fwoscc%2Ffull-record%2FWOS:000987521600001","View Full Record in Web of Science")</f>
        <v>View Full Record in Web of Science</v>
      </c>
    </row>
    <row r="610" ht="12.75" customHeight="1">
      <c r="A610" s="1" t="s">
        <v>72</v>
      </c>
      <c r="B610" s="1" t="s">
        <v>6244</v>
      </c>
      <c r="C610" s="1" t="s">
        <v>74</v>
      </c>
      <c r="D610" s="1" t="s">
        <v>74</v>
      </c>
      <c r="E610" s="1" t="s">
        <v>74</v>
      </c>
      <c r="F610" s="1" t="s">
        <v>6245</v>
      </c>
      <c r="G610" s="1" t="s">
        <v>74</v>
      </c>
      <c r="H610" s="1" t="s">
        <v>74</v>
      </c>
      <c r="I610" s="1" t="s">
        <v>6246</v>
      </c>
      <c r="J610" s="1" t="s">
        <v>6247</v>
      </c>
      <c r="K610" s="1" t="s">
        <v>74</v>
      </c>
      <c r="L610" s="1" t="s">
        <v>74</v>
      </c>
      <c r="M610" s="1" t="s">
        <v>74</v>
      </c>
      <c r="N610" s="1" t="s">
        <v>74</v>
      </c>
      <c r="O610" s="1" t="s">
        <v>74</v>
      </c>
      <c r="P610" s="1" t="s">
        <v>74</v>
      </c>
      <c r="Q610" s="1" t="s">
        <v>74</v>
      </c>
      <c r="R610" s="1" t="s">
        <v>74</v>
      </c>
      <c r="S610" s="1" t="s">
        <v>74</v>
      </c>
      <c r="T610" s="1" t="s">
        <v>74</v>
      </c>
      <c r="U610" s="1" t="s">
        <v>74</v>
      </c>
      <c r="V610" s="1" t="s">
        <v>6248</v>
      </c>
      <c r="W610" s="1" t="s">
        <v>74</v>
      </c>
      <c r="X610" s="1" t="s">
        <v>74</v>
      </c>
      <c r="Y610" s="1" t="s">
        <v>74</v>
      </c>
      <c r="Z610" s="1" t="s">
        <v>74</v>
      </c>
      <c r="AA610" s="1" t="s">
        <v>6249</v>
      </c>
      <c r="AB610" s="1" t="s">
        <v>6250</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6251</v>
      </c>
      <c r="AP610" s="1" t="s">
        <v>6252</v>
      </c>
      <c r="AQ610" s="1" t="s">
        <v>74</v>
      </c>
      <c r="AR610" s="1" t="s">
        <v>74</v>
      </c>
      <c r="AS610" s="1" t="s">
        <v>74</v>
      </c>
      <c r="AT610" s="1" t="s">
        <v>214</v>
      </c>
      <c r="AU610" s="1">
        <v>2021.0</v>
      </c>
      <c r="AV610" s="1">
        <v>57.0</v>
      </c>
      <c r="AW610" s="1">
        <v>2.0</v>
      </c>
      <c r="AX610" s="1" t="s">
        <v>74</v>
      </c>
      <c r="AY610" s="1" t="s">
        <v>74</v>
      </c>
      <c r="AZ610" s="1" t="s">
        <v>74</v>
      </c>
      <c r="BA610" s="1" t="s">
        <v>74</v>
      </c>
      <c r="BB610" s="1" t="s">
        <v>74</v>
      </c>
      <c r="BC610" s="1" t="s">
        <v>74</v>
      </c>
      <c r="BD610" s="1">
        <v>2000306.0</v>
      </c>
      <c r="BE610" s="1" t="s">
        <v>6253</v>
      </c>
      <c r="BF610" s="2" t="str">
        <f>HYPERLINK("http://dx.doi.org/10.1109/TMAG.2020.3042130","http://dx.doi.org/10.1109/TMAG.2020.3042130")</f>
        <v>http://dx.doi.org/10.1109/TMAG.2020.3042130</v>
      </c>
      <c r="BG610" s="1" t="s">
        <v>74</v>
      </c>
      <c r="BH610" s="1" t="s">
        <v>74</v>
      </c>
      <c r="BI610" s="1" t="s">
        <v>74</v>
      </c>
      <c r="BJ610" s="1" t="s">
        <v>74</v>
      </c>
      <c r="BK610" s="1" t="s">
        <v>74</v>
      </c>
      <c r="BL610" s="1" t="s">
        <v>74</v>
      </c>
      <c r="BM610" s="1" t="s">
        <v>74</v>
      </c>
      <c r="BN610" s="1" t="s">
        <v>74</v>
      </c>
      <c r="BO610" s="1" t="s">
        <v>74</v>
      </c>
      <c r="BP610" s="1" t="s">
        <v>74</v>
      </c>
      <c r="BQ610" s="1" t="s">
        <v>74</v>
      </c>
      <c r="BR610" s="1" t="s">
        <v>74</v>
      </c>
      <c r="BS610" s="1" t="s">
        <v>6254</v>
      </c>
      <c r="BT610" s="1" t="str">
        <f>HYPERLINK("https%3A%2F%2Fwww.webofscience.com%2Fwos%2Fwoscc%2Ffull-record%2FWOS:000611096900122","View Full Record in Web of Science")</f>
        <v>View Full Record in Web of Science</v>
      </c>
    </row>
    <row r="611" ht="12.75" customHeight="1">
      <c r="A611" s="1" t="s">
        <v>462</v>
      </c>
      <c r="B611" s="1" t="s">
        <v>5830</v>
      </c>
      <c r="C611" s="1" t="s">
        <v>74</v>
      </c>
      <c r="D611" s="1" t="s">
        <v>6255</v>
      </c>
      <c r="E611" s="1" t="s">
        <v>74</v>
      </c>
      <c r="F611" s="1" t="s">
        <v>5831</v>
      </c>
      <c r="G611" s="1" t="s">
        <v>74</v>
      </c>
      <c r="H611" s="1" t="s">
        <v>74</v>
      </c>
      <c r="I611" s="1" t="s">
        <v>6256</v>
      </c>
      <c r="J611" s="1" t="s">
        <v>6257</v>
      </c>
      <c r="K611" s="1" t="s">
        <v>944</v>
      </c>
      <c r="L611" s="1" t="s">
        <v>74</v>
      </c>
      <c r="M611" s="1" t="s">
        <v>74</v>
      </c>
      <c r="N611" s="1" t="s">
        <v>74</v>
      </c>
      <c r="O611" s="1" t="s">
        <v>6258</v>
      </c>
      <c r="P611" s="1" t="s">
        <v>6259</v>
      </c>
      <c r="Q611" s="1" t="s">
        <v>6260</v>
      </c>
      <c r="R611" s="1" t="s">
        <v>74</v>
      </c>
      <c r="S611" s="1" t="s">
        <v>74</v>
      </c>
      <c r="T611" s="1" t="s">
        <v>74</v>
      </c>
      <c r="U611" s="1" t="s">
        <v>74</v>
      </c>
      <c r="V611" s="1" t="s">
        <v>6261</v>
      </c>
      <c r="W611" s="1" t="s">
        <v>74</v>
      </c>
      <c r="X611" s="1" t="s">
        <v>74</v>
      </c>
      <c r="Y611" s="1" t="s">
        <v>74</v>
      </c>
      <c r="Z611" s="1" t="s">
        <v>74</v>
      </c>
      <c r="AA611" s="1" t="s">
        <v>6262</v>
      </c>
      <c r="AB611" s="1" t="s">
        <v>6263</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953</v>
      </c>
      <c r="AP611" s="1" t="s">
        <v>954</v>
      </c>
      <c r="AQ611" s="1" t="s">
        <v>6264</v>
      </c>
      <c r="AR611" s="1" t="s">
        <v>74</v>
      </c>
      <c r="AS611" s="1" t="s">
        <v>74</v>
      </c>
      <c r="AT611" s="1" t="s">
        <v>74</v>
      </c>
      <c r="AU611" s="1">
        <v>2019.0</v>
      </c>
      <c r="AV611" s="1">
        <v>11651.0</v>
      </c>
      <c r="AW611" s="1" t="s">
        <v>74</v>
      </c>
      <c r="AX611" s="1" t="s">
        <v>74</v>
      </c>
      <c r="AY611" s="1" t="s">
        <v>74</v>
      </c>
      <c r="AZ611" s="1" t="s">
        <v>74</v>
      </c>
      <c r="BA611" s="1" t="s">
        <v>74</v>
      </c>
      <c r="BB611" s="1">
        <v>274.0</v>
      </c>
      <c r="BC611" s="1">
        <v>291.0</v>
      </c>
      <c r="BD611" s="1" t="s">
        <v>74</v>
      </c>
      <c r="BE611" s="1" t="s">
        <v>6265</v>
      </c>
      <c r="BF611" s="2" t="str">
        <f>HYPERLINK("http://dx.doi.org/10.1007/978-3-030-25027-0_19","http://dx.doi.org/10.1007/978-3-030-25027-0_19")</f>
        <v>http://dx.doi.org/10.1007/978-3-030-25027-0_19</v>
      </c>
      <c r="BG611" s="1" t="s">
        <v>74</v>
      </c>
      <c r="BH611" s="1" t="s">
        <v>74</v>
      </c>
      <c r="BI611" s="1" t="s">
        <v>74</v>
      </c>
      <c r="BJ611" s="1" t="s">
        <v>74</v>
      </c>
      <c r="BK611" s="1" t="s">
        <v>74</v>
      </c>
      <c r="BL611" s="1" t="s">
        <v>74</v>
      </c>
      <c r="BM611" s="1" t="s">
        <v>74</v>
      </c>
      <c r="BN611" s="1" t="s">
        <v>74</v>
      </c>
      <c r="BO611" s="1" t="s">
        <v>74</v>
      </c>
      <c r="BP611" s="1" t="s">
        <v>74</v>
      </c>
      <c r="BQ611" s="1" t="s">
        <v>74</v>
      </c>
      <c r="BR611" s="1" t="s">
        <v>74</v>
      </c>
      <c r="BS611" s="1" t="s">
        <v>6266</v>
      </c>
      <c r="BT611" s="1" t="str">
        <f>HYPERLINK("https%3A%2F%2Fwww.webofscience.com%2Fwos%2Fwoscc%2Ffull-record%2FWOS:000722623400018","View Full Record in Web of Science")</f>
        <v>View Full Record in Web of Science</v>
      </c>
    </row>
    <row r="612" ht="12.75" customHeight="1">
      <c r="A612" s="1" t="s">
        <v>72</v>
      </c>
      <c r="B612" s="1" t="s">
        <v>6267</v>
      </c>
      <c r="C612" s="1" t="s">
        <v>74</v>
      </c>
      <c r="D612" s="1" t="s">
        <v>74</v>
      </c>
      <c r="E612" s="1" t="s">
        <v>74</v>
      </c>
      <c r="F612" s="1" t="s">
        <v>6268</v>
      </c>
      <c r="G612" s="1" t="s">
        <v>74</v>
      </c>
      <c r="H612" s="1" t="s">
        <v>74</v>
      </c>
      <c r="I612" s="1" t="s">
        <v>6269</v>
      </c>
      <c r="J612" s="1" t="s">
        <v>6270</v>
      </c>
      <c r="K612" s="1" t="s">
        <v>74</v>
      </c>
      <c r="L612" s="1" t="s">
        <v>74</v>
      </c>
      <c r="M612" s="1" t="s">
        <v>74</v>
      </c>
      <c r="N612" s="1" t="s">
        <v>74</v>
      </c>
      <c r="O612" s="1" t="s">
        <v>74</v>
      </c>
      <c r="P612" s="1" t="s">
        <v>74</v>
      </c>
      <c r="Q612" s="1" t="s">
        <v>74</v>
      </c>
      <c r="R612" s="1" t="s">
        <v>74</v>
      </c>
      <c r="S612" s="1" t="s">
        <v>74</v>
      </c>
      <c r="T612" s="1" t="s">
        <v>74</v>
      </c>
      <c r="U612" s="1" t="s">
        <v>74</v>
      </c>
      <c r="V612" s="1" t="s">
        <v>6271</v>
      </c>
      <c r="W612" s="1" t="s">
        <v>74</v>
      </c>
      <c r="X612" s="1" t="s">
        <v>74</v>
      </c>
      <c r="Y612" s="1" t="s">
        <v>74</v>
      </c>
      <c r="Z612" s="1" t="s">
        <v>74</v>
      </c>
      <c r="AA612" s="1" t="s">
        <v>6272</v>
      </c>
      <c r="AB612" s="1" t="s">
        <v>6273</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6274</v>
      </c>
      <c r="AP612" s="1" t="s">
        <v>74</v>
      </c>
      <c r="AQ612" s="1" t="s">
        <v>74</v>
      </c>
      <c r="AR612" s="1" t="s">
        <v>74</v>
      </c>
      <c r="AS612" s="1" t="s">
        <v>74</v>
      </c>
      <c r="AT612" s="1" t="s">
        <v>787</v>
      </c>
      <c r="AU612" s="1">
        <v>2017.0</v>
      </c>
      <c r="AV612" s="1">
        <v>86.0</v>
      </c>
      <c r="AW612" s="1">
        <v>1.0</v>
      </c>
      <c r="AX612" s="1" t="s">
        <v>74</v>
      </c>
      <c r="AY612" s="1" t="s">
        <v>74</v>
      </c>
      <c r="AZ612" s="1" t="s">
        <v>74</v>
      </c>
      <c r="BA612" s="1" t="s">
        <v>74</v>
      </c>
      <c r="BB612" s="1" t="s">
        <v>74</v>
      </c>
      <c r="BC612" s="1" t="s">
        <v>74</v>
      </c>
      <c r="BD612" s="1">
        <v>11002.0</v>
      </c>
      <c r="BE612" s="1" t="s">
        <v>6275</v>
      </c>
      <c r="BF612" s="2" t="str">
        <f>HYPERLINK("http://dx.doi.org/10.7566/JPSJ.86.011002","http://dx.doi.org/10.7566/JPSJ.86.011002")</f>
        <v>http://dx.doi.org/10.7566/JPSJ.86.011002</v>
      </c>
      <c r="BG612" s="1" t="s">
        <v>74</v>
      </c>
      <c r="BH612" s="1" t="s">
        <v>74</v>
      </c>
      <c r="BI612" s="1" t="s">
        <v>74</v>
      </c>
      <c r="BJ612" s="1" t="s">
        <v>74</v>
      </c>
      <c r="BK612" s="1" t="s">
        <v>74</v>
      </c>
      <c r="BL612" s="1" t="s">
        <v>74</v>
      </c>
      <c r="BM612" s="1" t="s">
        <v>74</v>
      </c>
      <c r="BN612" s="1" t="s">
        <v>74</v>
      </c>
      <c r="BO612" s="1" t="s">
        <v>74</v>
      </c>
      <c r="BP612" s="1" t="s">
        <v>74</v>
      </c>
      <c r="BQ612" s="1" t="s">
        <v>74</v>
      </c>
      <c r="BR612" s="1" t="s">
        <v>74</v>
      </c>
      <c r="BS612" s="1" t="s">
        <v>6276</v>
      </c>
      <c r="BT612" s="1" t="str">
        <f>HYPERLINK("https%3A%2F%2Fwww.webofscience.com%2Fwos%2Fwoscc%2Ffull-record%2FWOS:000391858100002","View Full Record in Web of Science")</f>
        <v>View Full Record in Web of Science</v>
      </c>
    </row>
    <row r="613" ht="12.75" customHeight="1">
      <c r="A613" s="1" t="s">
        <v>72</v>
      </c>
      <c r="B613" s="1" t="s">
        <v>6277</v>
      </c>
      <c r="C613" s="1" t="s">
        <v>74</v>
      </c>
      <c r="D613" s="1" t="s">
        <v>74</v>
      </c>
      <c r="E613" s="1" t="s">
        <v>74</v>
      </c>
      <c r="F613" s="1" t="s">
        <v>6278</v>
      </c>
      <c r="G613" s="1" t="s">
        <v>74</v>
      </c>
      <c r="H613" s="1" t="s">
        <v>74</v>
      </c>
      <c r="I613" s="1" t="s">
        <v>6279</v>
      </c>
      <c r="J613" s="1" t="s">
        <v>6280</v>
      </c>
      <c r="K613" s="1" t="s">
        <v>74</v>
      </c>
      <c r="L613" s="1" t="s">
        <v>74</v>
      </c>
      <c r="M613" s="1" t="s">
        <v>74</v>
      </c>
      <c r="N613" s="1" t="s">
        <v>74</v>
      </c>
      <c r="O613" s="1" t="s">
        <v>6281</v>
      </c>
      <c r="P613" s="1" t="s">
        <v>6179</v>
      </c>
      <c r="Q613" s="1" t="s">
        <v>6282</v>
      </c>
      <c r="R613" s="1" t="s">
        <v>74</v>
      </c>
      <c r="S613" s="1" t="s">
        <v>74</v>
      </c>
      <c r="T613" s="1" t="s">
        <v>74</v>
      </c>
      <c r="U613" s="1" t="s">
        <v>74</v>
      </c>
      <c r="V613" s="1" t="s">
        <v>6283</v>
      </c>
      <c r="W613" s="1" t="s">
        <v>74</v>
      </c>
      <c r="X613" s="1" t="s">
        <v>74</v>
      </c>
      <c r="Y613" s="1" t="s">
        <v>74</v>
      </c>
      <c r="Z613" s="1" t="s">
        <v>74</v>
      </c>
      <c r="AA613" s="1" t="s">
        <v>6284</v>
      </c>
      <c r="AB613" s="1" t="s">
        <v>6285</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6286</v>
      </c>
      <c r="AP613" s="1" t="s">
        <v>6287</v>
      </c>
      <c r="AQ613" s="1" t="s">
        <v>74</v>
      </c>
      <c r="AR613" s="1" t="s">
        <v>74</v>
      </c>
      <c r="AS613" s="1" t="s">
        <v>74</v>
      </c>
      <c r="AT613" s="1" t="s">
        <v>141</v>
      </c>
      <c r="AU613" s="1">
        <v>2006.0</v>
      </c>
      <c r="AV613" s="1">
        <v>83.0</v>
      </c>
      <c r="AW613" s="1" t="s">
        <v>6288</v>
      </c>
      <c r="AX613" s="1" t="s">
        <v>74</v>
      </c>
      <c r="AY613" s="1" t="s">
        <v>74</v>
      </c>
      <c r="AZ613" s="1" t="s">
        <v>448</v>
      </c>
      <c r="BA613" s="1" t="s">
        <v>74</v>
      </c>
      <c r="BB613" s="1">
        <v>273.0</v>
      </c>
      <c r="BC613" s="1">
        <v>280.0</v>
      </c>
      <c r="BD613" s="1" t="s">
        <v>74</v>
      </c>
      <c r="BE613" s="1" t="s">
        <v>6289</v>
      </c>
      <c r="BF613" s="2" t="str">
        <f>HYPERLINK("http://dx.doi.org/10.1016/j.hydromet.2006.03.029","http://dx.doi.org/10.1016/j.hydromet.2006.03.029")</f>
        <v>http://dx.doi.org/10.1016/j.hydromet.2006.03.029</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6290</v>
      </c>
      <c r="BT613" s="1" t="str">
        <f>HYPERLINK("https%3A%2F%2Fwww.webofscience.com%2Fwos%2Fwoscc%2Ffull-record%2FWOS:000240030200035","View Full Record in Web of Science")</f>
        <v>View Full Record in Web of Science</v>
      </c>
    </row>
    <row r="614" ht="12.75" customHeight="1">
      <c r="A614" s="1" t="s">
        <v>72</v>
      </c>
      <c r="B614" s="1" t="s">
        <v>6291</v>
      </c>
      <c r="C614" s="1" t="s">
        <v>74</v>
      </c>
      <c r="D614" s="1" t="s">
        <v>74</v>
      </c>
      <c r="E614" s="1" t="s">
        <v>74</v>
      </c>
      <c r="F614" s="1" t="s">
        <v>6292</v>
      </c>
      <c r="G614" s="1" t="s">
        <v>74</v>
      </c>
      <c r="H614" s="1" t="s">
        <v>74</v>
      </c>
      <c r="I614" s="1" t="s">
        <v>6293</v>
      </c>
      <c r="J614" s="1" t="s">
        <v>6294</v>
      </c>
      <c r="K614" s="1" t="s">
        <v>74</v>
      </c>
      <c r="L614" s="1" t="s">
        <v>74</v>
      </c>
      <c r="M614" s="1" t="s">
        <v>74</v>
      </c>
      <c r="N614" s="1" t="s">
        <v>74</v>
      </c>
      <c r="O614" s="1" t="s">
        <v>74</v>
      </c>
      <c r="P614" s="1" t="s">
        <v>74</v>
      </c>
      <c r="Q614" s="1" t="s">
        <v>74</v>
      </c>
      <c r="R614" s="1" t="s">
        <v>74</v>
      </c>
      <c r="S614" s="1" t="s">
        <v>74</v>
      </c>
      <c r="T614" s="1" t="s">
        <v>74</v>
      </c>
      <c r="U614" s="1" t="s">
        <v>74</v>
      </c>
      <c r="V614" s="1" t="s">
        <v>6295</v>
      </c>
      <c r="W614" s="1" t="s">
        <v>74</v>
      </c>
      <c r="X614" s="1" t="s">
        <v>74</v>
      </c>
      <c r="Y614" s="1" t="s">
        <v>74</v>
      </c>
      <c r="Z614" s="1" t="s">
        <v>74</v>
      </c>
      <c r="AA614" s="1" t="s">
        <v>6296</v>
      </c>
      <c r="AB614" s="1" t="s">
        <v>6297</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6298</v>
      </c>
      <c r="AP614" s="1" t="s">
        <v>6299</v>
      </c>
      <c r="AQ614" s="1" t="s">
        <v>74</v>
      </c>
      <c r="AR614" s="1" t="s">
        <v>74</v>
      </c>
      <c r="AS614" s="1" t="s">
        <v>74</v>
      </c>
      <c r="AT614" s="1" t="s">
        <v>3836</v>
      </c>
      <c r="AU614" s="1">
        <v>2022.0</v>
      </c>
      <c r="AV614" s="1">
        <v>2022.0</v>
      </c>
      <c r="AW614" s="1" t="s">
        <v>74</v>
      </c>
      <c r="AX614" s="1" t="s">
        <v>74</v>
      </c>
      <c r="AY614" s="1" t="s">
        <v>74</v>
      </c>
      <c r="AZ614" s="1" t="s">
        <v>74</v>
      </c>
      <c r="BA614" s="1" t="s">
        <v>74</v>
      </c>
      <c r="BB614" s="1" t="s">
        <v>74</v>
      </c>
      <c r="BC614" s="1" t="s">
        <v>74</v>
      </c>
      <c r="BD614" s="1">
        <v>3859071.0</v>
      </c>
      <c r="BE614" s="1" t="s">
        <v>6300</v>
      </c>
      <c r="BF614" s="2" t="str">
        <f>HYPERLINK("http://dx.doi.org/10.1155/2022/3859071","http://dx.doi.org/10.1155/2022/3859071")</f>
        <v>http://dx.doi.org/10.1155/2022/3859071</v>
      </c>
      <c r="BG614" s="1" t="s">
        <v>74</v>
      </c>
      <c r="BH614" s="1" t="s">
        <v>74</v>
      </c>
      <c r="BI614" s="1" t="s">
        <v>74</v>
      </c>
      <c r="BJ614" s="1" t="s">
        <v>74</v>
      </c>
      <c r="BK614" s="1" t="s">
        <v>74</v>
      </c>
      <c r="BL614" s="1" t="s">
        <v>74</v>
      </c>
      <c r="BM614" s="1" t="s">
        <v>74</v>
      </c>
      <c r="BN614" s="1">
        <v>3.5528635E7</v>
      </c>
      <c r="BO614" s="1" t="s">
        <v>74</v>
      </c>
      <c r="BP614" s="1" t="s">
        <v>74</v>
      </c>
      <c r="BQ614" s="1" t="s">
        <v>74</v>
      </c>
      <c r="BR614" s="1" t="s">
        <v>74</v>
      </c>
      <c r="BS614" s="1" t="s">
        <v>6301</v>
      </c>
      <c r="BT614" s="1" t="str">
        <f>HYPERLINK("https%3A%2F%2Fwww.webofscience.com%2Fwos%2Fwoscc%2Ffull-record%2FWOS:000795672900002","View Full Record in Web of Science")</f>
        <v>View Full Record in Web of Science</v>
      </c>
    </row>
    <row r="615" ht="12.75" customHeight="1">
      <c r="A615" s="1" t="s">
        <v>72</v>
      </c>
      <c r="B615" s="1" t="s">
        <v>6302</v>
      </c>
      <c r="C615" s="1" t="s">
        <v>74</v>
      </c>
      <c r="D615" s="1" t="s">
        <v>74</v>
      </c>
      <c r="E615" s="1" t="s">
        <v>74</v>
      </c>
      <c r="F615" s="1" t="s">
        <v>6303</v>
      </c>
      <c r="G615" s="1" t="s">
        <v>74</v>
      </c>
      <c r="H615" s="1" t="s">
        <v>74</v>
      </c>
      <c r="I615" s="1" t="s">
        <v>6304</v>
      </c>
      <c r="J615" s="1" t="s">
        <v>480</v>
      </c>
      <c r="K615" s="1" t="s">
        <v>74</v>
      </c>
      <c r="L615" s="1" t="s">
        <v>74</v>
      </c>
      <c r="M615" s="1" t="s">
        <v>74</v>
      </c>
      <c r="N615" s="1" t="s">
        <v>74</v>
      </c>
      <c r="O615" s="1" t="s">
        <v>74</v>
      </c>
      <c r="P615" s="1" t="s">
        <v>74</v>
      </c>
      <c r="Q615" s="1" t="s">
        <v>74</v>
      </c>
      <c r="R615" s="1" t="s">
        <v>74</v>
      </c>
      <c r="S615" s="1" t="s">
        <v>74</v>
      </c>
      <c r="T615" s="1" t="s">
        <v>74</v>
      </c>
      <c r="U615" s="1" t="s">
        <v>74</v>
      </c>
      <c r="V615" s="1" t="s">
        <v>6305</v>
      </c>
      <c r="W615" s="1" t="s">
        <v>74</v>
      </c>
      <c r="X615" s="1" t="s">
        <v>74</v>
      </c>
      <c r="Y615" s="1" t="s">
        <v>74</v>
      </c>
      <c r="Z615" s="1" t="s">
        <v>74</v>
      </c>
      <c r="AA615" s="1" t="s">
        <v>6306</v>
      </c>
      <c r="AB615" s="1" t="s">
        <v>6307</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484</v>
      </c>
      <c r="AP615" s="1" t="s">
        <v>74</v>
      </c>
      <c r="AQ615" s="1" t="s">
        <v>74</v>
      </c>
      <c r="AR615" s="1" t="s">
        <v>74</v>
      </c>
      <c r="AS615" s="1" t="s">
        <v>74</v>
      </c>
      <c r="AT615" s="1" t="s">
        <v>6308</v>
      </c>
      <c r="AU615" s="1">
        <v>2021.0</v>
      </c>
      <c r="AV615" s="1">
        <v>11.0</v>
      </c>
      <c r="AW615" s="1">
        <v>1.0</v>
      </c>
      <c r="AX615" s="1" t="s">
        <v>74</v>
      </c>
      <c r="AY615" s="1" t="s">
        <v>74</v>
      </c>
      <c r="AZ615" s="1" t="s">
        <v>74</v>
      </c>
      <c r="BA615" s="1" t="s">
        <v>74</v>
      </c>
      <c r="BB615" s="1" t="s">
        <v>74</v>
      </c>
      <c r="BC615" s="1" t="s">
        <v>74</v>
      </c>
      <c r="BD615" s="1">
        <v>24201.0</v>
      </c>
      <c r="BE615" s="1" t="s">
        <v>6309</v>
      </c>
      <c r="BF615" s="2" t="str">
        <f>HYPERLINK("http://dx.doi.org/10.1038/s41598-021-03532-0","http://dx.doi.org/10.1038/s41598-021-03532-0")</f>
        <v>http://dx.doi.org/10.1038/s41598-021-03532-0</v>
      </c>
      <c r="BG615" s="1" t="s">
        <v>74</v>
      </c>
      <c r="BH615" s="1" t="s">
        <v>74</v>
      </c>
      <c r="BI615" s="1" t="s">
        <v>74</v>
      </c>
      <c r="BJ615" s="1" t="s">
        <v>74</v>
      </c>
      <c r="BK615" s="1" t="s">
        <v>74</v>
      </c>
      <c r="BL615" s="1" t="s">
        <v>74</v>
      </c>
      <c r="BM615" s="1" t="s">
        <v>74</v>
      </c>
      <c r="BN615" s="1">
        <v>3.4921187E7</v>
      </c>
      <c r="BO615" s="1" t="s">
        <v>74</v>
      </c>
      <c r="BP615" s="1" t="s">
        <v>74</v>
      </c>
      <c r="BQ615" s="1" t="s">
        <v>74</v>
      </c>
      <c r="BR615" s="1" t="s">
        <v>74</v>
      </c>
      <c r="BS615" s="1" t="s">
        <v>6310</v>
      </c>
      <c r="BT615" s="1" t="str">
        <f>HYPERLINK("https%3A%2F%2Fwww.webofscience.com%2Fwos%2Fwoscc%2Ffull-record%2FWOS:000731322900005","View Full Record in Web of Science")</f>
        <v>View Full Record in Web of Science</v>
      </c>
    </row>
    <row r="616" ht="12.75" customHeight="1">
      <c r="A616" s="1" t="s">
        <v>72</v>
      </c>
      <c r="B616" s="1" t="s">
        <v>6311</v>
      </c>
      <c r="C616" s="1" t="s">
        <v>74</v>
      </c>
      <c r="D616" s="1" t="s">
        <v>74</v>
      </c>
      <c r="E616" s="1" t="s">
        <v>74</v>
      </c>
      <c r="F616" s="1" t="s">
        <v>6312</v>
      </c>
      <c r="G616" s="1" t="s">
        <v>74</v>
      </c>
      <c r="H616" s="1" t="s">
        <v>74</v>
      </c>
      <c r="I616" s="1" t="s">
        <v>6313</v>
      </c>
      <c r="J616" s="1" t="s">
        <v>6166</v>
      </c>
      <c r="K616" s="1" t="s">
        <v>74</v>
      </c>
      <c r="L616" s="1" t="s">
        <v>74</v>
      </c>
      <c r="M616" s="1" t="s">
        <v>74</v>
      </c>
      <c r="N616" s="1" t="s">
        <v>74</v>
      </c>
      <c r="O616" s="1" t="s">
        <v>74</v>
      </c>
      <c r="P616" s="1" t="s">
        <v>74</v>
      </c>
      <c r="Q616" s="1" t="s">
        <v>74</v>
      </c>
      <c r="R616" s="1" t="s">
        <v>74</v>
      </c>
      <c r="S616" s="1" t="s">
        <v>74</v>
      </c>
      <c r="T616" s="1" t="s">
        <v>74</v>
      </c>
      <c r="U616" s="1" t="s">
        <v>74</v>
      </c>
      <c r="V616" s="1" t="s">
        <v>74</v>
      </c>
      <c r="W616" s="1" t="s">
        <v>74</v>
      </c>
      <c r="X616" s="1" t="s">
        <v>74</v>
      </c>
      <c r="Y616" s="1" t="s">
        <v>74</v>
      </c>
      <c r="Z616" s="1" t="s">
        <v>74</v>
      </c>
      <c r="AA616" s="1" t="s">
        <v>6314</v>
      </c>
      <c r="AB616" s="1" t="s">
        <v>6315</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6170</v>
      </c>
      <c r="AP616" s="1" t="s">
        <v>6171</v>
      </c>
      <c r="AQ616" s="1" t="s">
        <v>74</v>
      </c>
      <c r="AR616" s="1" t="s">
        <v>74</v>
      </c>
      <c r="AS616" s="1" t="s">
        <v>74</v>
      </c>
      <c r="AT616" s="1" t="s">
        <v>202</v>
      </c>
      <c r="AU616" s="1">
        <v>2023.0</v>
      </c>
      <c r="AV616" s="1">
        <v>38.0</v>
      </c>
      <c r="AW616" s="1">
        <v>6.0</v>
      </c>
      <c r="AX616" s="1" t="s">
        <v>74</v>
      </c>
      <c r="AY616" s="1" t="s">
        <v>74</v>
      </c>
      <c r="AZ616" s="1" t="s">
        <v>74</v>
      </c>
      <c r="BA616" s="1" t="s">
        <v>74</v>
      </c>
      <c r="BB616" s="1">
        <v>1107.0</v>
      </c>
      <c r="BC616" s="1">
        <v>1109.0</v>
      </c>
      <c r="BD616" s="1" t="s">
        <v>74</v>
      </c>
      <c r="BE616" s="1" t="s">
        <v>6316</v>
      </c>
      <c r="BF616" s="2" t="str">
        <f>HYPERLINK("http://dx.doi.org/10.1002/mds.29390","http://dx.doi.org/10.1002/mds.29390")</f>
        <v>http://dx.doi.org/10.1002/mds.29390</v>
      </c>
      <c r="BG616" s="1" t="s">
        <v>74</v>
      </c>
      <c r="BH616" s="1" t="s">
        <v>835</v>
      </c>
      <c r="BI616" s="1" t="s">
        <v>74</v>
      </c>
      <c r="BJ616" s="1" t="s">
        <v>74</v>
      </c>
      <c r="BK616" s="1" t="s">
        <v>74</v>
      </c>
      <c r="BL616" s="1" t="s">
        <v>74</v>
      </c>
      <c r="BM616" s="1" t="s">
        <v>74</v>
      </c>
      <c r="BN616" s="1">
        <v>3.7246629E7</v>
      </c>
      <c r="BO616" s="1" t="s">
        <v>74</v>
      </c>
      <c r="BP616" s="1" t="s">
        <v>74</v>
      </c>
      <c r="BQ616" s="1" t="s">
        <v>74</v>
      </c>
      <c r="BR616" s="1" t="s">
        <v>74</v>
      </c>
      <c r="BS616" s="1" t="s">
        <v>6317</v>
      </c>
      <c r="BT616" s="1" t="str">
        <f>HYPERLINK("https%3A%2F%2Fwww.webofscience.com%2Fwos%2Fwoscc%2Ffull-record%2FWOS:000996135700001","View Full Record in Web of Science")</f>
        <v>View Full Record in Web of Science</v>
      </c>
    </row>
    <row r="617" ht="12.75" customHeight="1">
      <c r="A617" s="1" t="s">
        <v>72</v>
      </c>
      <c r="B617" s="1" t="s">
        <v>6318</v>
      </c>
      <c r="C617" s="1" t="s">
        <v>74</v>
      </c>
      <c r="D617" s="1" t="s">
        <v>74</v>
      </c>
      <c r="E617" s="1" t="s">
        <v>74</v>
      </c>
      <c r="F617" s="1" t="s">
        <v>6319</v>
      </c>
      <c r="G617" s="1" t="s">
        <v>74</v>
      </c>
      <c r="H617" s="1" t="s">
        <v>74</v>
      </c>
      <c r="I617" s="1" t="s">
        <v>6320</v>
      </c>
      <c r="J617" s="1" t="s">
        <v>5175</v>
      </c>
      <c r="K617" s="1" t="s">
        <v>74</v>
      </c>
      <c r="L617" s="1" t="s">
        <v>74</v>
      </c>
      <c r="M617" s="1" t="s">
        <v>74</v>
      </c>
      <c r="N617" s="1" t="s">
        <v>74</v>
      </c>
      <c r="O617" s="1" t="s">
        <v>74</v>
      </c>
      <c r="P617" s="1" t="s">
        <v>74</v>
      </c>
      <c r="Q617" s="1" t="s">
        <v>74</v>
      </c>
      <c r="R617" s="1" t="s">
        <v>74</v>
      </c>
      <c r="S617" s="1" t="s">
        <v>74</v>
      </c>
      <c r="T617" s="1" t="s">
        <v>74</v>
      </c>
      <c r="U617" s="1" t="s">
        <v>74</v>
      </c>
      <c r="V617" s="1" t="s">
        <v>6321</v>
      </c>
      <c r="W617" s="1" t="s">
        <v>74</v>
      </c>
      <c r="X617" s="1" t="s">
        <v>74</v>
      </c>
      <c r="Y617" s="1" t="s">
        <v>74</v>
      </c>
      <c r="Z617" s="1" t="s">
        <v>74</v>
      </c>
      <c r="AA617" s="1" t="s">
        <v>6322</v>
      </c>
      <c r="AB617" s="1" t="s">
        <v>6323</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74</v>
      </c>
      <c r="AP617" s="1" t="s">
        <v>5179</v>
      </c>
      <c r="AQ617" s="1" t="s">
        <v>74</v>
      </c>
      <c r="AR617" s="1" t="s">
        <v>74</v>
      </c>
      <c r="AS617" s="1" t="s">
        <v>74</v>
      </c>
      <c r="AT617" s="1" t="s">
        <v>264</v>
      </c>
      <c r="AU617" s="1">
        <v>2023.0</v>
      </c>
      <c r="AV617" s="1">
        <v>15.0</v>
      </c>
      <c r="AW617" s="1">
        <v>1.0</v>
      </c>
      <c r="AX617" s="1" t="s">
        <v>74</v>
      </c>
      <c r="AY617" s="1" t="s">
        <v>74</v>
      </c>
      <c r="AZ617" s="1" t="s">
        <v>74</v>
      </c>
      <c r="BA617" s="1" t="s">
        <v>74</v>
      </c>
      <c r="BB617" s="1" t="s">
        <v>74</v>
      </c>
      <c r="BC617" s="1" t="s">
        <v>74</v>
      </c>
      <c r="BD617" s="1">
        <v>10.0</v>
      </c>
      <c r="BE617" s="1" t="s">
        <v>6324</v>
      </c>
      <c r="BF617" s="2" t="str">
        <f>HYPERLINK("http://dx.doi.org/10.3390/pharmaceutics15010010","http://dx.doi.org/10.3390/pharmaceutics15010010")</f>
        <v>http://dx.doi.org/10.3390/pharmaceutics15010010</v>
      </c>
      <c r="BG617" s="1" t="s">
        <v>74</v>
      </c>
      <c r="BH617" s="1" t="s">
        <v>74</v>
      </c>
      <c r="BI617" s="1" t="s">
        <v>74</v>
      </c>
      <c r="BJ617" s="1" t="s">
        <v>74</v>
      </c>
      <c r="BK617" s="1" t="s">
        <v>74</v>
      </c>
      <c r="BL617" s="1" t="s">
        <v>74</v>
      </c>
      <c r="BM617" s="1" t="s">
        <v>74</v>
      </c>
      <c r="BN617" s="1">
        <v>3.6678639E7</v>
      </c>
      <c r="BO617" s="1" t="s">
        <v>74</v>
      </c>
      <c r="BP617" s="1" t="s">
        <v>74</v>
      </c>
      <c r="BQ617" s="1" t="s">
        <v>74</v>
      </c>
      <c r="BR617" s="1" t="s">
        <v>74</v>
      </c>
      <c r="BS617" s="1" t="s">
        <v>6325</v>
      </c>
      <c r="BT617" s="1" t="str">
        <f>HYPERLINK("https%3A%2F%2Fwww.webofscience.com%2Fwos%2Fwoscc%2Ffull-record%2FWOS:000922243900001","View Full Record in Web of Science")</f>
        <v>View Full Record in Web of Science</v>
      </c>
    </row>
    <row r="618" ht="12.75" customHeight="1">
      <c r="A618" s="1" t="s">
        <v>72</v>
      </c>
      <c r="B618" s="1" t="s">
        <v>6326</v>
      </c>
      <c r="C618" s="1" t="s">
        <v>74</v>
      </c>
      <c r="D618" s="1" t="s">
        <v>74</v>
      </c>
      <c r="E618" s="1" t="s">
        <v>74</v>
      </c>
      <c r="F618" s="1" t="s">
        <v>6327</v>
      </c>
      <c r="G618" s="1" t="s">
        <v>74</v>
      </c>
      <c r="H618" s="1" t="s">
        <v>74</v>
      </c>
      <c r="I618" s="1" t="s">
        <v>6328</v>
      </c>
      <c r="J618" s="1" t="s">
        <v>1984</v>
      </c>
      <c r="K618" s="1" t="s">
        <v>74</v>
      </c>
      <c r="L618" s="1" t="s">
        <v>74</v>
      </c>
      <c r="M618" s="1" t="s">
        <v>74</v>
      </c>
      <c r="N618" s="1" t="s">
        <v>74</v>
      </c>
      <c r="O618" s="1" t="s">
        <v>74</v>
      </c>
      <c r="P618" s="1" t="s">
        <v>74</v>
      </c>
      <c r="Q618" s="1" t="s">
        <v>74</v>
      </c>
      <c r="R618" s="1" t="s">
        <v>74</v>
      </c>
      <c r="S618" s="1" t="s">
        <v>74</v>
      </c>
      <c r="T618" s="1" t="s">
        <v>74</v>
      </c>
      <c r="U618" s="1" t="s">
        <v>74</v>
      </c>
      <c r="V618" s="1" t="s">
        <v>6329</v>
      </c>
      <c r="W618" s="1" t="s">
        <v>74</v>
      </c>
      <c r="X618" s="1" t="s">
        <v>74</v>
      </c>
      <c r="Y618" s="1" t="s">
        <v>74</v>
      </c>
      <c r="Z618" s="1" t="s">
        <v>74</v>
      </c>
      <c r="AA618" s="1" t="s">
        <v>6330</v>
      </c>
      <c r="AB618" s="1" t="s">
        <v>6331</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1988</v>
      </c>
      <c r="AP618" s="1" t="s">
        <v>1989</v>
      </c>
      <c r="AQ618" s="1" t="s">
        <v>74</v>
      </c>
      <c r="AR618" s="1" t="s">
        <v>74</v>
      </c>
      <c r="AS618" s="1" t="s">
        <v>74</v>
      </c>
      <c r="AT618" s="1" t="s">
        <v>2289</v>
      </c>
      <c r="AU618" s="1">
        <v>2020.0</v>
      </c>
      <c r="AV618" s="1">
        <v>254.0</v>
      </c>
      <c r="AW618" s="1" t="s">
        <v>74</v>
      </c>
      <c r="AX618" s="1" t="s">
        <v>74</v>
      </c>
      <c r="AY618" s="1" t="s">
        <v>74</v>
      </c>
      <c r="AZ618" s="1" t="s">
        <v>74</v>
      </c>
      <c r="BA618" s="1" t="s">
        <v>74</v>
      </c>
      <c r="BB618" s="1" t="s">
        <v>74</v>
      </c>
      <c r="BC618" s="1" t="s">
        <v>74</v>
      </c>
      <c r="BD618" s="1">
        <v>123572.0</v>
      </c>
      <c r="BE618" s="1" t="s">
        <v>6332</v>
      </c>
      <c r="BF618" s="2" t="str">
        <f>HYPERLINK("http://dx.doi.org/10.1016/j.matchemphys.2020.123572","http://dx.doi.org/10.1016/j.matchemphys.2020.123572")</f>
        <v>http://dx.doi.org/10.1016/j.matchemphys.2020.123572</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6333</v>
      </c>
      <c r="BT618" s="1" t="str">
        <f>HYPERLINK("https%3A%2F%2Fwww.webofscience.com%2Fwos%2Fwoscc%2Ffull-record%2FWOS:000571543300001","View Full Record in Web of Science")</f>
        <v>View Full Record in Web of Science</v>
      </c>
    </row>
    <row r="619" ht="12.75" customHeight="1">
      <c r="A619" s="1" t="s">
        <v>72</v>
      </c>
      <c r="B619" s="1" t="s">
        <v>6334</v>
      </c>
      <c r="C619" s="1" t="s">
        <v>74</v>
      </c>
      <c r="D619" s="1" t="s">
        <v>74</v>
      </c>
      <c r="E619" s="1" t="s">
        <v>74</v>
      </c>
      <c r="F619" s="1" t="s">
        <v>6335</v>
      </c>
      <c r="G619" s="1" t="s">
        <v>74</v>
      </c>
      <c r="H619" s="1" t="s">
        <v>74</v>
      </c>
      <c r="I619" s="1" t="s">
        <v>6336</v>
      </c>
      <c r="J619" s="1" t="s">
        <v>6337</v>
      </c>
      <c r="K619" s="1" t="s">
        <v>74</v>
      </c>
      <c r="L619" s="1" t="s">
        <v>74</v>
      </c>
      <c r="M619" s="1" t="s">
        <v>74</v>
      </c>
      <c r="N619" s="1" t="s">
        <v>74</v>
      </c>
      <c r="O619" s="1" t="s">
        <v>74</v>
      </c>
      <c r="P619" s="1" t="s">
        <v>74</v>
      </c>
      <c r="Q619" s="1" t="s">
        <v>74</v>
      </c>
      <c r="R619" s="1" t="s">
        <v>74</v>
      </c>
      <c r="S619" s="1" t="s">
        <v>74</v>
      </c>
      <c r="T619" s="1" t="s">
        <v>74</v>
      </c>
      <c r="U619" s="1" t="s">
        <v>74</v>
      </c>
      <c r="V619" s="1" t="s">
        <v>6338</v>
      </c>
      <c r="W619" s="1" t="s">
        <v>74</v>
      </c>
      <c r="X619" s="1" t="s">
        <v>74</v>
      </c>
      <c r="Y619" s="1" t="s">
        <v>74</v>
      </c>
      <c r="Z619" s="1" t="s">
        <v>74</v>
      </c>
      <c r="AA619" s="1" t="s">
        <v>6339</v>
      </c>
      <c r="AB619" s="1" t="s">
        <v>6340</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74</v>
      </c>
      <c r="AP619" s="1" t="s">
        <v>6341</v>
      </c>
      <c r="AQ619" s="1" t="s">
        <v>74</v>
      </c>
      <c r="AR619" s="1" t="s">
        <v>74</v>
      </c>
      <c r="AS619" s="1" t="s">
        <v>74</v>
      </c>
      <c r="AT619" s="1" t="s">
        <v>745</v>
      </c>
      <c r="AU619" s="1">
        <v>2021.0</v>
      </c>
      <c r="AV619" s="1">
        <v>11.0</v>
      </c>
      <c r="AW619" s="1">
        <v>7.0</v>
      </c>
      <c r="AX619" s="1" t="s">
        <v>74</v>
      </c>
      <c r="AY619" s="1" t="s">
        <v>74</v>
      </c>
      <c r="AZ619" s="1" t="s">
        <v>74</v>
      </c>
      <c r="BA619" s="1" t="s">
        <v>74</v>
      </c>
      <c r="BB619" s="1" t="s">
        <v>74</v>
      </c>
      <c r="BC619" s="1" t="s">
        <v>74</v>
      </c>
      <c r="BD619" s="1">
        <v>829.0</v>
      </c>
      <c r="BE619" s="1" t="s">
        <v>6342</v>
      </c>
      <c r="BF619" s="2" t="str">
        <f>HYPERLINK("http://dx.doi.org/10.3390/brainsci11070829","http://dx.doi.org/10.3390/brainsci11070829")</f>
        <v>http://dx.doi.org/10.3390/brainsci11070829</v>
      </c>
      <c r="BG619" s="1" t="s">
        <v>74</v>
      </c>
      <c r="BH619" s="1" t="s">
        <v>74</v>
      </c>
      <c r="BI619" s="1" t="s">
        <v>74</v>
      </c>
      <c r="BJ619" s="1" t="s">
        <v>74</v>
      </c>
      <c r="BK619" s="1" t="s">
        <v>74</v>
      </c>
      <c r="BL619" s="1" t="s">
        <v>74</v>
      </c>
      <c r="BM619" s="1" t="s">
        <v>74</v>
      </c>
      <c r="BN619" s="1">
        <v>3.4201523E7</v>
      </c>
      <c r="BO619" s="1" t="s">
        <v>74</v>
      </c>
      <c r="BP619" s="1" t="s">
        <v>74</v>
      </c>
      <c r="BQ619" s="1" t="s">
        <v>74</v>
      </c>
      <c r="BR619" s="1" t="s">
        <v>74</v>
      </c>
      <c r="BS619" s="1" t="s">
        <v>6343</v>
      </c>
      <c r="BT619" s="1" t="str">
        <f>HYPERLINK("https%3A%2F%2Fwww.webofscience.com%2Fwos%2Fwoscc%2Ffull-record%2FWOS:000676217000001","View Full Record in Web of Science")</f>
        <v>View Full Record in Web of Science</v>
      </c>
    </row>
    <row r="620" ht="12.75" customHeight="1">
      <c r="A620" s="1" t="s">
        <v>72</v>
      </c>
      <c r="B620" s="1" t="s">
        <v>6344</v>
      </c>
      <c r="C620" s="1" t="s">
        <v>74</v>
      </c>
      <c r="D620" s="1" t="s">
        <v>74</v>
      </c>
      <c r="E620" s="1" t="s">
        <v>74</v>
      </c>
      <c r="F620" s="1" t="s">
        <v>6345</v>
      </c>
      <c r="G620" s="1" t="s">
        <v>74</v>
      </c>
      <c r="H620" s="1" t="s">
        <v>74</v>
      </c>
      <c r="I620" s="1" t="s">
        <v>6346</v>
      </c>
      <c r="J620" s="1" t="s">
        <v>2874</v>
      </c>
      <c r="K620" s="1" t="s">
        <v>74</v>
      </c>
      <c r="L620" s="1" t="s">
        <v>74</v>
      </c>
      <c r="M620" s="1" t="s">
        <v>74</v>
      </c>
      <c r="N620" s="1" t="s">
        <v>74</v>
      </c>
      <c r="O620" s="1" t="s">
        <v>74</v>
      </c>
      <c r="P620" s="1" t="s">
        <v>74</v>
      </c>
      <c r="Q620" s="1" t="s">
        <v>74</v>
      </c>
      <c r="R620" s="1" t="s">
        <v>74</v>
      </c>
      <c r="S620" s="1" t="s">
        <v>74</v>
      </c>
      <c r="T620" s="1" t="s">
        <v>74</v>
      </c>
      <c r="U620" s="1" t="s">
        <v>74</v>
      </c>
      <c r="V620" s="1" t="s">
        <v>6347</v>
      </c>
      <c r="W620" s="1" t="s">
        <v>74</v>
      </c>
      <c r="X620" s="1" t="s">
        <v>74</v>
      </c>
      <c r="Y620" s="1" t="s">
        <v>74</v>
      </c>
      <c r="Z620" s="1" t="s">
        <v>74</v>
      </c>
      <c r="AA620" s="1" t="s">
        <v>6348</v>
      </c>
      <c r="AB620" s="1" t="s">
        <v>6349</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2878</v>
      </c>
      <c r="AP620" s="1" t="s">
        <v>74</v>
      </c>
      <c r="AQ620" s="1" t="s">
        <v>74</v>
      </c>
      <c r="AR620" s="1" t="s">
        <v>74</v>
      </c>
      <c r="AS620" s="1" t="s">
        <v>74</v>
      </c>
      <c r="AT620" s="1" t="s">
        <v>94</v>
      </c>
      <c r="AU620" s="1">
        <v>2022.0</v>
      </c>
      <c r="AV620" s="1">
        <v>17.0</v>
      </c>
      <c r="AW620" s="1" t="s">
        <v>74</v>
      </c>
      <c r="AX620" s="1" t="s">
        <v>74</v>
      </c>
      <c r="AY620" s="1" t="s">
        <v>74</v>
      </c>
      <c r="AZ620" s="1" t="s">
        <v>74</v>
      </c>
      <c r="BA620" s="1" t="s">
        <v>74</v>
      </c>
      <c r="BB620" s="1" t="s">
        <v>74</v>
      </c>
      <c r="BC620" s="1" t="s">
        <v>74</v>
      </c>
      <c r="BD620" s="1" t="s">
        <v>6350</v>
      </c>
      <c r="BE620" s="1" t="s">
        <v>6351</v>
      </c>
      <c r="BF620" s="2" t="str">
        <f>HYPERLINK("http://dx.doi.org/10.1016/j.cscm.2022.e01339","http://dx.doi.org/10.1016/j.cscm.2022.e01339")</f>
        <v>http://dx.doi.org/10.1016/j.cscm.2022.e01339</v>
      </c>
      <c r="BG620" s="1" t="s">
        <v>74</v>
      </c>
      <c r="BH620" s="1" t="s">
        <v>2291</v>
      </c>
      <c r="BI620" s="1" t="s">
        <v>74</v>
      </c>
      <c r="BJ620" s="1" t="s">
        <v>74</v>
      </c>
      <c r="BK620" s="1" t="s">
        <v>74</v>
      </c>
      <c r="BL620" s="1" t="s">
        <v>74</v>
      </c>
      <c r="BM620" s="1" t="s">
        <v>74</v>
      </c>
      <c r="BN620" s="1" t="s">
        <v>74</v>
      </c>
      <c r="BO620" s="1" t="s">
        <v>74</v>
      </c>
      <c r="BP620" s="1" t="s">
        <v>74</v>
      </c>
      <c r="BQ620" s="1" t="s">
        <v>74</v>
      </c>
      <c r="BR620" s="1" t="s">
        <v>74</v>
      </c>
      <c r="BS620" s="1" t="s">
        <v>6352</v>
      </c>
      <c r="BT620" s="1" t="str">
        <f>HYPERLINK("https%3A%2F%2Fwww.webofscience.com%2Fwos%2Fwoscc%2Ffull-record%2FWOS:000843523600006","View Full Record in Web of Science")</f>
        <v>View Full Record in Web of Science</v>
      </c>
    </row>
    <row r="621" ht="12.75" customHeight="1">
      <c r="A621" s="1" t="s">
        <v>72</v>
      </c>
      <c r="B621" s="1" t="s">
        <v>6353</v>
      </c>
      <c r="C621" s="1" t="s">
        <v>74</v>
      </c>
      <c r="D621" s="1" t="s">
        <v>74</v>
      </c>
      <c r="E621" s="1" t="s">
        <v>74</v>
      </c>
      <c r="F621" s="1" t="s">
        <v>6354</v>
      </c>
      <c r="G621" s="1" t="s">
        <v>74</v>
      </c>
      <c r="H621" s="1" t="s">
        <v>74</v>
      </c>
      <c r="I621" s="1" t="s">
        <v>6355</v>
      </c>
      <c r="J621" s="1" t="s">
        <v>2967</v>
      </c>
      <c r="K621" s="1" t="s">
        <v>74</v>
      </c>
      <c r="L621" s="1" t="s">
        <v>74</v>
      </c>
      <c r="M621" s="1" t="s">
        <v>74</v>
      </c>
      <c r="N621" s="1" t="s">
        <v>74</v>
      </c>
      <c r="O621" s="1" t="s">
        <v>74</v>
      </c>
      <c r="P621" s="1" t="s">
        <v>74</v>
      </c>
      <c r="Q621" s="1" t="s">
        <v>74</v>
      </c>
      <c r="R621" s="1" t="s">
        <v>74</v>
      </c>
      <c r="S621" s="1" t="s">
        <v>74</v>
      </c>
      <c r="T621" s="1" t="s">
        <v>74</v>
      </c>
      <c r="U621" s="1" t="s">
        <v>74</v>
      </c>
      <c r="V621" s="1" t="s">
        <v>6356</v>
      </c>
      <c r="W621" s="1" t="s">
        <v>74</v>
      </c>
      <c r="X621" s="1" t="s">
        <v>74</v>
      </c>
      <c r="Y621" s="1" t="s">
        <v>74</v>
      </c>
      <c r="Z621" s="1" t="s">
        <v>74</v>
      </c>
      <c r="AA621" s="1" t="s">
        <v>6357</v>
      </c>
      <c r="AB621" s="1" t="s">
        <v>6358</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2971</v>
      </c>
      <c r="AP621" s="1" t="s">
        <v>74</v>
      </c>
      <c r="AQ621" s="1" t="s">
        <v>74</v>
      </c>
      <c r="AR621" s="1" t="s">
        <v>74</v>
      </c>
      <c r="AS621" s="1" t="s">
        <v>74</v>
      </c>
      <c r="AT621" s="1" t="s">
        <v>2104</v>
      </c>
      <c r="AU621" s="1">
        <v>2017.0</v>
      </c>
      <c r="AV621" s="1">
        <v>121.0</v>
      </c>
      <c r="AW621" s="1">
        <v>23.0</v>
      </c>
      <c r="AX621" s="1" t="s">
        <v>74</v>
      </c>
      <c r="AY621" s="1" t="s">
        <v>74</v>
      </c>
      <c r="AZ621" s="1" t="s">
        <v>74</v>
      </c>
      <c r="BA621" s="1" t="s">
        <v>74</v>
      </c>
      <c r="BB621" s="1">
        <v>12658.0</v>
      </c>
      <c r="BC621" s="1">
        <v>12668.0</v>
      </c>
      <c r="BD621" s="1" t="s">
        <v>74</v>
      </c>
      <c r="BE621" s="1" t="s">
        <v>6359</v>
      </c>
      <c r="BF621" s="2" t="str">
        <f>HYPERLINK("http://dx.doi.org/10.1021/acs.jpcc.6b12155","http://dx.doi.org/10.1021/acs.jpcc.6b12155")</f>
        <v>http://dx.doi.org/10.1021/acs.jpcc.6b12155</v>
      </c>
      <c r="BG621" s="1" t="s">
        <v>74</v>
      </c>
      <c r="BH621" s="1" t="s">
        <v>74</v>
      </c>
      <c r="BI621" s="1" t="s">
        <v>74</v>
      </c>
      <c r="BJ621" s="1" t="s">
        <v>74</v>
      </c>
      <c r="BK621" s="1" t="s">
        <v>74</v>
      </c>
      <c r="BL621" s="1" t="s">
        <v>74</v>
      </c>
      <c r="BM621" s="1" t="s">
        <v>74</v>
      </c>
      <c r="BN621" s="1" t="s">
        <v>74</v>
      </c>
      <c r="BO621" s="1" t="s">
        <v>74</v>
      </c>
      <c r="BP621" s="1" t="s">
        <v>74</v>
      </c>
      <c r="BQ621" s="1" t="s">
        <v>74</v>
      </c>
      <c r="BR621" s="1" t="s">
        <v>74</v>
      </c>
      <c r="BS621" s="1" t="s">
        <v>6360</v>
      </c>
      <c r="BT621" s="1" t="str">
        <f>HYPERLINK("https%3A%2F%2Fwww.webofscience.com%2Fwos%2Fwoscc%2Ffull-record%2FWOS:000403731700019","View Full Record in Web of Science")</f>
        <v>View Full Record in Web of Science</v>
      </c>
    </row>
    <row r="622" ht="12.75" customHeight="1">
      <c r="A622" s="1" t="s">
        <v>72</v>
      </c>
      <c r="B622" s="1" t="s">
        <v>6361</v>
      </c>
      <c r="C622" s="1" t="s">
        <v>74</v>
      </c>
      <c r="D622" s="1" t="s">
        <v>74</v>
      </c>
      <c r="E622" s="1" t="s">
        <v>74</v>
      </c>
      <c r="F622" s="1" t="s">
        <v>6362</v>
      </c>
      <c r="G622" s="1" t="s">
        <v>74</v>
      </c>
      <c r="H622" s="1" t="s">
        <v>6363</v>
      </c>
      <c r="I622" s="1" t="s">
        <v>6364</v>
      </c>
      <c r="J622" s="1" t="s">
        <v>2479</v>
      </c>
      <c r="K622" s="1" t="s">
        <v>74</v>
      </c>
      <c r="L622" s="1" t="s">
        <v>74</v>
      </c>
      <c r="M622" s="1" t="s">
        <v>74</v>
      </c>
      <c r="N622" s="1" t="s">
        <v>74</v>
      </c>
      <c r="O622" s="1" t="s">
        <v>74</v>
      </c>
      <c r="P622" s="1" t="s">
        <v>74</v>
      </c>
      <c r="Q622" s="1" t="s">
        <v>74</v>
      </c>
      <c r="R622" s="1" t="s">
        <v>74</v>
      </c>
      <c r="S622" s="1" t="s">
        <v>74</v>
      </c>
      <c r="T622" s="1" t="s">
        <v>74</v>
      </c>
      <c r="U622" s="1" t="s">
        <v>74</v>
      </c>
      <c r="V622" s="1" t="s">
        <v>6365</v>
      </c>
      <c r="W622" s="1" t="s">
        <v>74</v>
      </c>
      <c r="X622" s="1" t="s">
        <v>74</v>
      </c>
      <c r="Y622" s="1" t="s">
        <v>74</v>
      </c>
      <c r="Z622" s="1" t="s">
        <v>74</v>
      </c>
      <c r="AA622" s="1" t="s">
        <v>6366</v>
      </c>
      <c r="AB622" s="1" t="s">
        <v>6367</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74</v>
      </c>
      <c r="AP622" s="1" t="s">
        <v>2483</v>
      </c>
      <c r="AQ622" s="1" t="s">
        <v>74</v>
      </c>
      <c r="AR622" s="1" t="s">
        <v>74</v>
      </c>
      <c r="AS622" s="1" t="s">
        <v>74</v>
      </c>
      <c r="AT622" s="1" t="s">
        <v>6368</v>
      </c>
      <c r="AU622" s="1">
        <v>2022.0</v>
      </c>
      <c r="AV622" s="1">
        <v>13.0</v>
      </c>
      <c r="AW622" s="1" t="s">
        <v>74</v>
      </c>
      <c r="AX622" s="1" t="s">
        <v>74</v>
      </c>
      <c r="AY622" s="1" t="s">
        <v>74</v>
      </c>
      <c r="AZ622" s="1" t="s">
        <v>74</v>
      </c>
      <c r="BA622" s="1" t="s">
        <v>74</v>
      </c>
      <c r="BB622" s="1" t="s">
        <v>74</v>
      </c>
      <c r="BC622" s="1" t="s">
        <v>74</v>
      </c>
      <c r="BD622" s="1">
        <v>953205.0</v>
      </c>
      <c r="BE622" s="1" t="s">
        <v>6369</v>
      </c>
      <c r="BF622" s="2" t="str">
        <f>HYPERLINK("http://dx.doi.org/10.3389/fphar.2022.953205","http://dx.doi.org/10.3389/fphar.2022.953205")</f>
        <v>http://dx.doi.org/10.3389/fphar.2022.953205</v>
      </c>
      <c r="BG622" s="1" t="s">
        <v>74</v>
      </c>
      <c r="BH622" s="1" t="s">
        <v>74</v>
      </c>
      <c r="BI622" s="1" t="s">
        <v>74</v>
      </c>
      <c r="BJ622" s="1" t="s">
        <v>74</v>
      </c>
      <c r="BK622" s="1" t="s">
        <v>74</v>
      </c>
      <c r="BL622" s="1" t="s">
        <v>74</v>
      </c>
      <c r="BM622" s="1" t="s">
        <v>74</v>
      </c>
      <c r="BN622" s="1">
        <v>3.6176427E7</v>
      </c>
      <c r="BO622" s="1" t="s">
        <v>74</v>
      </c>
      <c r="BP622" s="1" t="s">
        <v>74</v>
      </c>
      <c r="BQ622" s="1" t="s">
        <v>74</v>
      </c>
      <c r="BR622" s="1" t="s">
        <v>74</v>
      </c>
      <c r="BS622" s="1" t="s">
        <v>6370</v>
      </c>
      <c r="BT622" s="1" t="str">
        <f>HYPERLINK("https%3A%2F%2Fwww.webofscience.com%2Fwos%2Fwoscc%2Ffull-record%2FWOS:000861630000001","View Full Record in Web of Science")</f>
        <v>View Full Record in Web of Science</v>
      </c>
    </row>
    <row r="623" ht="12.75" customHeight="1">
      <c r="A623" s="1" t="s">
        <v>72</v>
      </c>
      <c r="B623" s="1" t="s">
        <v>6371</v>
      </c>
      <c r="C623" s="1" t="s">
        <v>74</v>
      </c>
      <c r="D623" s="1" t="s">
        <v>74</v>
      </c>
      <c r="E623" s="1" t="s">
        <v>74</v>
      </c>
      <c r="F623" s="1" t="s">
        <v>6372</v>
      </c>
      <c r="G623" s="1" t="s">
        <v>74</v>
      </c>
      <c r="H623" s="1" t="s">
        <v>74</v>
      </c>
      <c r="I623" s="1" t="s">
        <v>6373</v>
      </c>
      <c r="J623" s="1" t="s">
        <v>6374</v>
      </c>
      <c r="K623" s="1" t="s">
        <v>74</v>
      </c>
      <c r="L623" s="1" t="s">
        <v>74</v>
      </c>
      <c r="M623" s="1" t="s">
        <v>74</v>
      </c>
      <c r="N623" s="1" t="s">
        <v>74</v>
      </c>
      <c r="O623" s="1" t="s">
        <v>74</v>
      </c>
      <c r="P623" s="1" t="s">
        <v>74</v>
      </c>
      <c r="Q623" s="1" t="s">
        <v>74</v>
      </c>
      <c r="R623" s="1" t="s">
        <v>74</v>
      </c>
      <c r="S623" s="1" t="s">
        <v>74</v>
      </c>
      <c r="T623" s="1" t="s">
        <v>74</v>
      </c>
      <c r="U623" s="1" t="s">
        <v>74</v>
      </c>
      <c r="V623" s="1" t="s">
        <v>74</v>
      </c>
      <c r="W623" s="1" t="s">
        <v>74</v>
      </c>
      <c r="X623" s="1" t="s">
        <v>74</v>
      </c>
      <c r="Y623" s="1" t="s">
        <v>74</v>
      </c>
      <c r="Z623" s="1" t="s">
        <v>74</v>
      </c>
      <c r="AA623" s="1" t="s">
        <v>6375</v>
      </c>
      <c r="AB623" s="1" t="s">
        <v>6376</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6377</v>
      </c>
      <c r="AP623" s="1" t="s">
        <v>6378</v>
      </c>
      <c r="AQ623" s="1" t="s">
        <v>74</v>
      </c>
      <c r="AR623" s="1" t="s">
        <v>74</v>
      </c>
      <c r="AS623" s="1" t="s">
        <v>74</v>
      </c>
      <c r="AT623" s="1" t="s">
        <v>141</v>
      </c>
      <c r="AU623" s="1">
        <v>2022.0</v>
      </c>
      <c r="AV623" s="1">
        <v>54.0</v>
      </c>
      <c r="AW623" s="1">
        <v>9.0</v>
      </c>
      <c r="AX623" s="1" t="s">
        <v>74</v>
      </c>
      <c r="AY623" s="1" t="s">
        <v>1303</v>
      </c>
      <c r="AZ623" s="1" t="s">
        <v>74</v>
      </c>
      <c r="BA623" s="1">
        <v>2452.0</v>
      </c>
      <c r="BB623" s="1">
        <v>461.0</v>
      </c>
      <c r="BC623" s="1">
        <v>462.0</v>
      </c>
      <c r="BD623" s="1" t="s">
        <v>74</v>
      </c>
      <c r="BE623" s="1" t="s">
        <v>74</v>
      </c>
      <c r="BF623" s="1" t="s">
        <v>74</v>
      </c>
      <c r="BG623" s="1" t="s">
        <v>74</v>
      </c>
      <c r="BH623" s="1" t="s">
        <v>74</v>
      </c>
      <c r="BI623" s="1" t="s">
        <v>74</v>
      </c>
      <c r="BJ623" s="1" t="s">
        <v>74</v>
      </c>
      <c r="BK623" s="1" t="s">
        <v>74</v>
      </c>
      <c r="BL623" s="1" t="s">
        <v>74</v>
      </c>
      <c r="BM623" s="1" t="s">
        <v>74</v>
      </c>
      <c r="BN623" s="1" t="s">
        <v>74</v>
      </c>
      <c r="BO623" s="1" t="s">
        <v>74</v>
      </c>
      <c r="BP623" s="1" t="s">
        <v>74</v>
      </c>
      <c r="BQ623" s="1" t="s">
        <v>74</v>
      </c>
      <c r="BR623" s="1" t="s">
        <v>74</v>
      </c>
      <c r="BS623" s="1" t="s">
        <v>6379</v>
      </c>
      <c r="BT623" s="1" t="str">
        <f>HYPERLINK("https%3A%2F%2Fwww.webofscience.com%2Fwos%2Fwoscc%2Ffull-record%2FWOS:000888056602074","View Full Record in Web of Science")</f>
        <v>View Full Record in Web of Science</v>
      </c>
    </row>
    <row r="624" ht="12.75" customHeight="1">
      <c r="A624" s="1" t="s">
        <v>72</v>
      </c>
      <c r="B624" s="1" t="s">
        <v>6380</v>
      </c>
      <c r="C624" s="1" t="s">
        <v>74</v>
      </c>
      <c r="D624" s="1" t="s">
        <v>74</v>
      </c>
      <c r="E624" s="1" t="s">
        <v>74</v>
      </c>
      <c r="F624" s="1" t="s">
        <v>6381</v>
      </c>
      <c r="G624" s="1" t="s">
        <v>74</v>
      </c>
      <c r="H624" s="1" t="s">
        <v>74</v>
      </c>
      <c r="I624" s="1" t="s">
        <v>6382</v>
      </c>
      <c r="J624" s="1" t="s">
        <v>6383</v>
      </c>
      <c r="K624" s="1" t="s">
        <v>74</v>
      </c>
      <c r="L624" s="1" t="s">
        <v>74</v>
      </c>
      <c r="M624" s="1" t="s">
        <v>74</v>
      </c>
      <c r="N624" s="1" t="s">
        <v>74</v>
      </c>
      <c r="O624" s="1" t="s">
        <v>74</v>
      </c>
      <c r="P624" s="1" t="s">
        <v>74</v>
      </c>
      <c r="Q624" s="1" t="s">
        <v>74</v>
      </c>
      <c r="R624" s="1" t="s">
        <v>74</v>
      </c>
      <c r="S624" s="1" t="s">
        <v>74</v>
      </c>
      <c r="T624" s="1" t="s">
        <v>74</v>
      </c>
      <c r="U624" s="1" t="s">
        <v>74</v>
      </c>
      <c r="V624" s="1" t="s">
        <v>6384</v>
      </c>
      <c r="W624" s="1" t="s">
        <v>74</v>
      </c>
      <c r="X624" s="1" t="s">
        <v>74</v>
      </c>
      <c r="Y624" s="1" t="s">
        <v>74</v>
      </c>
      <c r="Z624" s="1" t="s">
        <v>74</v>
      </c>
      <c r="AA624" s="1" t="s">
        <v>6385</v>
      </c>
      <c r="AB624" s="1" t="s">
        <v>6386</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6387</v>
      </c>
      <c r="AP624" s="1" t="s">
        <v>6388</v>
      </c>
      <c r="AQ624" s="1" t="s">
        <v>74</v>
      </c>
      <c r="AR624" s="1" t="s">
        <v>74</v>
      </c>
      <c r="AS624" s="1" t="s">
        <v>74</v>
      </c>
      <c r="AT624" s="1" t="s">
        <v>214</v>
      </c>
      <c r="AU624" s="1">
        <v>2018.0</v>
      </c>
      <c r="AV624" s="1">
        <v>31.0</v>
      </c>
      <c r="AW624" s="1">
        <v>1.0</v>
      </c>
      <c r="AX624" s="1" t="s">
        <v>74</v>
      </c>
      <c r="AY624" s="1" t="s">
        <v>74</v>
      </c>
      <c r="AZ624" s="1" t="s">
        <v>74</v>
      </c>
      <c r="BA624" s="1" t="s">
        <v>74</v>
      </c>
      <c r="BB624" s="1">
        <v>5.0</v>
      </c>
      <c r="BC624" s="1">
        <v>13.0</v>
      </c>
      <c r="BD624" s="1" t="s">
        <v>74</v>
      </c>
      <c r="BE624" s="1" t="s">
        <v>6389</v>
      </c>
      <c r="BF624" s="2" t="str">
        <f>HYPERLINK("http://dx.doi.org/10.1002/jts.22256","http://dx.doi.org/10.1002/jts.22256")</f>
        <v>http://dx.doi.org/10.1002/jts.22256</v>
      </c>
      <c r="BG624" s="1" t="s">
        <v>74</v>
      </c>
      <c r="BH624" s="1" t="s">
        <v>74</v>
      </c>
      <c r="BI624" s="1" t="s">
        <v>74</v>
      </c>
      <c r="BJ624" s="1" t="s">
        <v>74</v>
      </c>
      <c r="BK624" s="1" t="s">
        <v>74</v>
      </c>
      <c r="BL624" s="1" t="s">
        <v>74</v>
      </c>
      <c r="BM624" s="1" t="s">
        <v>74</v>
      </c>
      <c r="BN624" s="1">
        <v>2.941248E7</v>
      </c>
      <c r="BO624" s="1" t="s">
        <v>74</v>
      </c>
      <c r="BP624" s="1" t="s">
        <v>74</v>
      </c>
      <c r="BQ624" s="1" t="s">
        <v>74</v>
      </c>
      <c r="BR624" s="1" t="s">
        <v>74</v>
      </c>
      <c r="BS624" s="1" t="s">
        <v>6390</v>
      </c>
      <c r="BT624" s="1" t="str">
        <f>HYPERLINK("https%3A%2F%2Fwww.webofscience.com%2Fwos%2Fwoscc%2Ffull-record%2FWOS:000426789700001","View Full Record in Web of Science")</f>
        <v>View Full Record in Web of Science</v>
      </c>
    </row>
    <row r="625" ht="12.75" customHeight="1">
      <c r="A625" s="1" t="s">
        <v>72</v>
      </c>
      <c r="B625" s="1" t="s">
        <v>6391</v>
      </c>
      <c r="C625" s="1" t="s">
        <v>74</v>
      </c>
      <c r="D625" s="1" t="s">
        <v>74</v>
      </c>
      <c r="E625" s="1" t="s">
        <v>74</v>
      </c>
      <c r="F625" s="1" t="s">
        <v>6392</v>
      </c>
      <c r="G625" s="1" t="s">
        <v>74</v>
      </c>
      <c r="H625" s="1" t="s">
        <v>74</v>
      </c>
      <c r="I625" s="1" t="s">
        <v>6393</v>
      </c>
      <c r="J625" s="1" t="s">
        <v>6394</v>
      </c>
      <c r="K625" s="1" t="s">
        <v>74</v>
      </c>
      <c r="L625" s="1" t="s">
        <v>74</v>
      </c>
      <c r="M625" s="1" t="s">
        <v>74</v>
      </c>
      <c r="N625" s="1" t="s">
        <v>74</v>
      </c>
      <c r="O625" s="1" t="s">
        <v>74</v>
      </c>
      <c r="P625" s="1" t="s">
        <v>74</v>
      </c>
      <c r="Q625" s="1" t="s">
        <v>74</v>
      </c>
      <c r="R625" s="1" t="s">
        <v>74</v>
      </c>
      <c r="S625" s="1" t="s">
        <v>74</v>
      </c>
      <c r="T625" s="1" t="s">
        <v>74</v>
      </c>
      <c r="U625" s="1" t="s">
        <v>74</v>
      </c>
      <c r="V625" s="1" t="s">
        <v>6395</v>
      </c>
      <c r="W625" s="1" t="s">
        <v>74</v>
      </c>
      <c r="X625" s="1" t="s">
        <v>74</v>
      </c>
      <c r="Y625" s="1" t="s">
        <v>74</v>
      </c>
      <c r="Z625" s="1" t="s">
        <v>74</v>
      </c>
      <c r="AA625" s="1" t="s">
        <v>6396</v>
      </c>
      <c r="AB625" s="1" t="s">
        <v>6397</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6398</v>
      </c>
      <c r="AP625" s="1" t="s">
        <v>6399</v>
      </c>
      <c r="AQ625" s="1" t="s">
        <v>74</v>
      </c>
      <c r="AR625" s="1" t="s">
        <v>74</v>
      </c>
      <c r="AS625" s="1" t="s">
        <v>74</v>
      </c>
      <c r="AT625" s="1" t="s">
        <v>5404</v>
      </c>
      <c r="AU625" s="1">
        <v>2010.0</v>
      </c>
      <c r="AV625" s="1">
        <v>18.0</v>
      </c>
      <c r="AW625" s="1">
        <v>4.0</v>
      </c>
      <c r="AX625" s="1" t="s">
        <v>74</v>
      </c>
      <c r="AY625" s="1" t="s">
        <v>74</v>
      </c>
      <c r="AZ625" s="1" t="s">
        <v>74</v>
      </c>
      <c r="BA625" s="1" t="s">
        <v>74</v>
      </c>
      <c r="BB625" s="1">
        <v>1388.0</v>
      </c>
      <c r="BC625" s="1">
        <v>1395.0</v>
      </c>
      <c r="BD625" s="1" t="s">
        <v>74</v>
      </c>
      <c r="BE625" s="1" t="s">
        <v>6400</v>
      </c>
      <c r="BF625" s="2" t="str">
        <f>HYPERLINK("http://dx.doi.org/10.1016/j.bmc.2010.01.029","http://dx.doi.org/10.1016/j.bmc.2010.01.029")</f>
        <v>http://dx.doi.org/10.1016/j.bmc.2010.01.029</v>
      </c>
      <c r="BG625" s="1" t="s">
        <v>74</v>
      </c>
      <c r="BH625" s="1" t="s">
        <v>74</v>
      </c>
      <c r="BI625" s="1" t="s">
        <v>74</v>
      </c>
      <c r="BJ625" s="1" t="s">
        <v>74</v>
      </c>
      <c r="BK625" s="1" t="s">
        <v>74</v>
      </c>
      <c r="BL625" s="1" t="s">
        <v>74</v>
      </c>
      <c r="BM625" s="1" t="s">
        <v>74</v>
      </c>
      <c r="BN625" s="1">
        <v>2.0123154E7</v>
      </c>
      <c r="BO625" s="1" t="s">
        <v>74</v>
      </c>
      <c r="BP625" s="1" t="s">
        <v>74</v>
      </c>
      <c r="BQ625" s="1" t="s">
        <v>74</v>
      </c>
      <c r="BR625" s="1" t="s">
        <v>74</v>
      </c>
      <c r="BS625" s="1" t="s">
        <v>6401</v>
      </c>
      <c r="BT625" s="1" t="str">
        <f>HYPERLINK("https%3A%2F%2Fwww.webofscience.com%2Fwos%2Fwoscc%2Ffull-record%2FWOS:000274425500002","View Full Record in Web of Science")</f>
        <v>View Full Record in Web of Science</v>
      </c>
    </row>
    <row r="626" ht="12.75" customHeight="1">
      <c r="A626" s="1" t="s">
        <v>72</v>
      </c>
      <c r="B626" s="1" t="s">
        <v>6402</v>
      </c>
      <c r="C626" s="1" t="s">
        <v>74</v>
      </c>
      <c r="D626" s="1" t="s">
        <v>74</v>
      </c>
      <c r="E626" s="1" t="s">
        <v>74</v>
      </c>
      <c r="F626" s="1" t="s">
        <v>6403</v>
      </c>
      <c r="G626" s="1" t="s">
        <v>74</v>
      </c>
      <c r="H626" s="1" t="s">
        <v>74</v>
      </c>
      <c r="I626" s="1" t="s">
        <v>6404</v>
      </c>
      <c r="J626" s="1" t="s">
        <v>6405</v>
      </c>
      <c r="K626" s="1" t="s">
        <v>74</v>
      </c>
      <c r="L626" s="1" t="s">
        <v>74</v>
      </c>
      <c r="M626" s="1" t="s">
        <v>74</v>
      </c>
      <c r="N626" s="1" t="s">
        <v>74</v>
      </c>
      <c r="O626" s="1" t="s">
        <v>74</v>
      </c>
      <c r="P626" s="1" t="s">
        <v>74</v>
      </c>
      <c r="Q626" s="1" t="s">
        <v>74</v>
      </c>
      <c r="R626" s="1" t="s">
        <v>74</v>
      </c>
      <c r="S626" s="1" t="s">
        <v>74</v>
      </c>
      <c r="T626" s="1" t="s">
        <v>74</v>
      </c>
      <c r="U626" s="1" t="s">
        <v>74</v>
      </c>
      <c r="V626" s="1" t="s">
        <v>6406</v>
      </c>
      <c r="W626" s="1" t="s">
        <v>74</v>
      </c>
      <c r="X626" s="1" t="s">
        <v>74</v>
      </c>
      <c r="Y626" s="1" t="s">
        <v>74</v>
      </c>
      <c r="Z626" s="1" t="s">
        <v>74</v>
      </c>
      <c r="AA626" s="1" t="s">
        <v>6407</v>
      </c>
      <c r="AB626" s="1" t="s">
        <v>6408</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6409</v>
      </c>
      <c r="AP626" s="1" t="s">
        <v>6410</v>
      </c>
      <c r="AQ626" s="1" t="s">
        <v>74</v>
      </c>
      <c r="AR626" s="1" t="s">
        <v>74</v>
      </c>
      <c r="AS626" s="1" t="s">
        <v>74</v>
      </c>
      <c r="AT626" s="1" t="s">
        <v>264</v>
      </c>
      <c r="AU626" s="1">
        <v>2025.0</v>
      </c>
      <c r="AV626" s="1">
        <v>185.0</v>
      </c>
      <c r="AW626" s="1" t="s">
        <v>74</v>
      </c>
      <c r="AX626" s="1" t="s">
        <v>74</v>
      </c>
      <c r="AY626" s="1" t="s">
        <v>74</v>
      </c>
      <c r="AZ626" s="1" t="s">
        <v>74</v>
      </c>
      <c r="BA626" s="1" t="s">
        <v>74</v>
      </c>
      <c r="BB626" s="1" t="s">
        <v>74</v>
      </c>
      <c r="BC626" s="1" t="s">
        <v>74</v>
      </c>
      <c r="BD626" s="1">
        <v>108865.0</v>
      </c>
      <c r="BE626" s="1" t="s">
        <v>6411</v>
      </c>
      <c r="BF626" s="2" t="str">
        <f>HYPERLINK("http://dx.doi.org/10.1016/j.mssp.2024.108865","http://dx.doi.org/10.1016/j.mssp.2024.108865")</f>
        <v>http://dx.doi.org/10.1016/j.mssp.2024.108865</v>
      </c>
      <c r="BG626" s="1" t="s">
        <v>74</v>
      </c>
      <c r="BH626" s="1" t="s">
        <v>428</v>
      </c>
      <c r="BI626" s="1" t="s">
        <v>74</v>
      </c>
      <c r="BJ626" s="1" t="s">
        <v>74</v>
      </c>
      <c r="BK626" s="1" t="s">
        <v>74</v>
      </c>
      <c r="BL626" s="1" t="s">
        <v>74</v>
      </c>
      <c r="BM626" s="1" t="s">
        <v>74</v>
      </c>
      <c r="BN626" s="1" t="s">
        <v>74</v>
      </c>
      <c r="BO626" s="1" t="s">
        <v>74</v>
      </c>
      <c r="BP626" s="1" t="s">
        <v>74</v>
      </c>
      <c r="BQ626" s="1" t="s">
        <v>74</v>
      </c>
      <c r="BR626" s="1" t="s">
        <v>74</v>
      </c>
      <c r="BS626" s="1" t="s">
        <v>6412</v>
      </c>
      <c r="BT626" s="1" t="str">
        <f>HYPERLINK("https%3A%2F%2Fwww.webofscience.com%2Fwos%2Fwoscc%2Ffull-record%2FWOS:001312703200001","View Full Record in Web of Science")</f>
        <v>View Full Record in Web of Science</v>
      </c>
    </row>
    <row r="627" ht="12.75" customHeight="1">
      <c r="A627" s="1" t="s">
        <v>72</v>
      </c>
      <c r="B627" s="1" t="s">
        <v>6413</v>
      </c>
      <c r="C627" s="1" t="s">
        <v>74</v>
      </c>
      <c r="D627" s="1" t="s">
        <v>74</v>
      </c>
      <c r="E627" s="1" t="s">
        <v>74</v>
      </c>
      <c r="F627" s="1" t="s">
        <v>6414</v>
      </c>
      <c r="G627" s="1" t="s">
        <v>74</v>
      </c>
      <c r="H627" s="1" t="s">
        <v>74</v>
      </c>
      <c r="I627" s="1" t="s">
        <v>6415</v>
      </c>
      <c r="J627" s="1" t="s">
        <v>6416</v>
      </c>
      <c r="K627" s="1" t="s">
        <v>74</v>
      </c>
      <c r="L627" s="1" t="s">
        <v>74</v>
      </c>
      <c r="M627" s="1" t="s">
        <v>74</v>
      </c>
      <c r="N627" s="1" t="s">
        <v>74</v>
      </c>
      <c r="O627" s="1" t="s">
        <v>74</v>
      </c>
      <c r="P627" s="1" t="s">
        <v>74</v>
      </c>
      <c r="Q627" s="1" t="s">
        <v>74</v>
      </c>
      <c r="R627" s="1" t="s">
        <v>74</v>
      </c>
      <c r="S627" s="1" t="s">
        <v>74</v>
      </c>
      <c r="T627" s="1" t="s">
        <v>74</v>
      </c>
      <c r="U627" s="1" t="s">
        <v>74</v>
      </c>
      <c r="V627" s="1" t="s">
        <v>6417</v>
      </c>
      <c r="W627" s="1" t="s">
        <v>74</v>
      </c>
      <c r="X627" s="1" t="s">
        <v>74</v>
      </c>
      <c r="Y627" s="1" t="s">
        <v>74</v>
      </c>
      <c r="Z627" s="1" t="s">
        <v>74</v>
      </c>
      <c r="AA627" s="1" t="s">
        <v>6418</v>
      </c>
      <c r="AB627" s="1" t="s">
        <v>6419</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6420</v>
      </c>
      <c r="AP627" s="1" t="s">
        <v>74</v>
      </c>
      <c r="AQ627" s="1" t="s">
        <v>74</v>
      </c>
      <c r="AR627" s="1" t="s">
        <v>74</v>
      </c>
      <c r="AS627" s="1" t="s">
        <v>74</v>
      </c>
      <c r="AT627" s="1" t="s">
        <v>202</v>
      </c>
      <c r="AU627" s="1">
        <v>2024.0</v>
      </c>
      <c r="AV627" s="1">
        <v>21.0</v>
      </c>
      <c r="AW627" s="1" t="s">
        <v>74</v>
      </c>
      <c r="AX627" s="1" t="s">
        <v>74</v>
      </c>
      <c r="AY627" s="1" t="s">
        <v>74</v>
      </c>
      <c r="AZ627" s="1" t="s">
        <v>74</v>
      </c>
      <c r="BA627" s="1" t="s">
        <v>74</v>
      </c>
      <c r="BB627" s="1" t="s">
        <v>74</v>
      </c>
      <c r="BC627" s="1" t="s">
        <v>74</v>
      </c>
      <c r="BD627" s="1">
        <v>100593.0</v>
      </c>
      <c r="BE627" s="1" t="s">
        <v>6421</v>
      </c>
      <c r="BF627" s="2" t="str">
        <f>HYPERLINK("http://dx.doi.org/10.1016/j.apsadv.2024.100593","http://dx.doi.org/10.1016/j.apsadv.2024.100593")</f>
        <v>http://dx.doi.org/10.1016/j.apsadv.2024.100593</v>
      </c>
      <c r="BG627" s="1" t="s">
        <v>74</v>
      </c>
      <c r="BH627" s="1" t="s">
        <v>766</v>
      </c>
      <c r="BI627" s="1" t="s">
        <v>74</v>
      </c>
      <c r="BJ627" s="1" t="s">
        <v>74</v>
      </c>
      <c r="BK627" s="1" t="s">
        <v>74</v>
      </c>
      <c r="BL627" s="1" t="s">
        <v>74</v>
      </c>
      <c r="BM627" s="1" t="s">
        <v>74</v>
      </c>
      <c r="BN627" s="1" t="s">
        <v>74</v>
      </c>
      <c r="BO627" s="1" t="s">
        <v>74</v>
      </c>
      <c r="BP627" s="1" t="s">
        <v>74</v>
      </c>
      <c r="BQ627" s="1" t="s">
        <v>74</v>
      </c>
      <c r="BR627" s="1" t="s">
        <v>74</v>
      </c>
      <c r="BS627" s="1" t="s">
        <v>6422</v>
      </c>
      <c r="BT627" s="1" t="str">
        <f>HYPERLINK("https%3A%2F%2Fwww.webofscience.com%2Fwos%2Fwoscc%2Ffull-record%2FWOS:001223309500001","View Full Record in Web of Science")</f>
        <v>View Full Record in Web of Science</v>
      </c>
    </row>
    <row r="628" ht="12.75" customHeight="1">
      <c r="A628" s="1" t="s">
        <v>72</v>
      </c>
      <c r="B628" s="1" t="s">
        <v>6423</v>
      </c>
      <c r="C628" s="1" t="s">
        <v>74</v>
      </c>
      <c r="D628" s="1" t="s">
        <v>74</v>
      </c>
      <c r="E628" s="1" t="s">
        <v>74</v>
      </c>
      <c r="F628" s="1" t="s">
        <v>6424</v>
      </c>
      <c r="G628" s="1" t="s">
        <v>74</v>
      </c>
      <c r="H628" s="1" t="s">
        <v>74</v>
      </c>
      <c r="I628" s="1" t="s">
        <v>6425</v>
      </c>
      <c r="J628" s="1" t="s">
        <v>6426</v>
      </c>
      <c r="K628" s="1" t="s">
        <v>74</v>
      </c>
      <c r="L628" s="1" t="s">
        <v>74</v>
      </c>
      <c r="M628" s="1" t="s">
        <v>74</v>
      </c>
      <c r="N628" s="1" t="s">
        <v>74</v>
      </c>
      <c r="O628" s="1" t="s">
        <v>74</v>
      </c>
      <c r="P628" s="1" t="s">
        <v>74</v>
      </c>
      <c r="Q628" s="1" t="s">
        <v>74</v>
      </c>
      <c r="R628" s="1" t="s">
        <v>74</v>
      </c>
      <c r="S628" s="1" t="s">
        <v>74</v>
      </c>
      <c r="T628" s="1" t="s">
        <v>74</v>
      </c>
      <c r="U628" s="1" t="s">
        <v>74</v>
      </c>
      <c r="V628" s="1" t="s">
        <v>6427</v>
      </c>
      <c r="W628" s="1" t="s">
        <v>74</v>
      </c>
      <c r="X628" s="1" t="s">
        <v>74</v>
      </c>
      <c r="Y628" s="1" t="s">
        <v>74</v>
      </c>
      <c r="Z628" s="1" t="s">
        <v>74</v>
      </c>
      <c r="AA628" s="1" t="s">
        <v>6428</v>
      </c>
      <c r="AB628" s="1" t="s">
        <v>6429</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6430</v>
      </c>
      <c r="AP628" s="1" t="s">
        <v>6431</v>
      </c>
      <c r="AQ628" s="1" t="s">
        <v>74</v>
      </c>
      <c r="AR628" s="1" t="s">
        <v>74</v>
      </c>
      <c r="AS628" s="1" t="s">
        <v>74</v>
      </c>
      <c r="AT628" s="1" t="s">
        <v>189</v>
      </c>
      <c r="AU628" s="1">
        <v>2022.0</v>
      </c>
      <c r="AV628" s="1">
        <v>367.0</v>
      </c>
      <c r="AW628" s="1" t="s">
        <v>74</v>
      </c>
      <c r="AX628" s="1" t="s">
        <v>2882</v>
      </c>
      <c r="AY628" s="1" t="s">
        <v>74</v>
      </c>
      <c r="AZ628" s="1" t="s">
        <v>74</v>
      </c>
      <c r="BA628" s="1" t="s">
        <v>74</v>
      </c>
      <c r="BB628" s="1" t="s">
        <v>74</v>
      </c>
      <c r="BC628" s="1" t="s">
        <v>74</v>
      </c>
      <c r="BD628" s="1">
        <v>120532.0</v>
      </c>
      <c r="BE628" s="1" t="s">
        <v>6432</v>
      </c>
      <c r="BF628" s="2" t="str">
        <f>HYPERLINK("http://dx.doi.org/10.1016/j.molliq.2022.120532","http://dx.doi.org/10.1016/j.molliq.2022.120532")</f>
        <v>http://dx.doi.org/10.1016/j.molliq.2022.120532</v>
      </c>
      <c r="BG628" s="1" t="s">
        <v>74</v>
      </c>
      <c r="BH628" s="1" t="s">
        <v>6433</v>
      </c>
      <c r="BI628" s="1" t="s">
        <v>74</v>
      </c>
      <c r="BJ628" s="1" t="s">
        <v>74</v>
      </c>
      <c r="BK628" s="1" t="s">
        <v>74</v>
      </c>
      <c r="BL628" s="1" t="s">
        <v>74</v>
      </c>
      <c r="BM628" s="1" t="s">
        <v>74</v>
      </c>
      <c r="BN628" s="1" t="s">
        <v>74</v>
      </c>
      <c r="BO628" s="1" t="s">
        <v>74</v>
      </c>
      <c r="BP628" s="1" t="s">
        <v>74</v>
      </c>
      <c r="BQ628" s="1" t="s">
        <v>74</v>
      </c>
      <c r="BR628" s="1" t="s">
        <v>74</v>
      </c>
      <c r="BS628" s="1" t="s">
        <v>6434</v>
      </c>
      <c r="BT628" s="1" t="str">
        <f>HYPERLINK("https%3A%2F%2Fwww.webofscience.com%2Fwos%2Fwoscc%2Ffull-record%2FWOS:000869467100006","View Full Record in Web of Science")</f>
        <v>View Full Record in Web of Science</v>
      </c>
    </row>
    <row r="629" ht="12.75" customHeight="1">
      <c r="A629" s="1" t="s">
        <v>72</v>
      </c>
      <c r="B629" s="1" t="s">
        <v>6435</v>
      </c>
      <c r="C629" s="1" t="s">
        <v>74</v>
      </c>
      <c r="D629" s="1" t="s">
        <v>74</v>
      </c>
      <c r="E629" s="1" t="s">
        <v>74</v>
      </c>
      <c r="F629" s="1" t="s">
        <v>6436</v>
      </c>
      <c r="G629" s="1" t="s">
        <v>74</v>
      </c>
      <c r="H629" s="1" t="s">
        <v>74</v>
      </c>
      <c r="I629" s="1" t="s">
        <v>6437</v>
      </c>
      <c r="J629" s="1" t="s">
        <v>6438</v>
      </c>
      <c r="K629" s="1" t="s">
        <v>74</v>
      </c>
      <c r="L629" s="1" t="s">
        <v>74</v>
      </c>
      <c r="M629" s="1" t="s">
        <v>74</v>
      </c>
      <c r="N629" s="1" t="s">
        <v>74</v>
      </c>
      <c r="O629" s="1" t="s">
        <v>74</v>
      </c>
      <c r="P629" s="1" t="s">
        <v>74</v>
      </c>
      <c r="Q629" s="1" t="s">
        <v>74</v>
      </c>
      <c r="R629" s="1" t="s">
        <v>74</v>
      </c>
      <c r="S629" s="1" t="s">
        <v>74</v>
      </c>
      <c r="T629" s="1" t="s">
        <v>74</v>
      </c>
      <c r="U629" s="1" t="s">
        <v>74</v>
      </c>
      <c r="V629" s="1" t="s">
        <v>6439</v>
      </c>
      <c r="W629" s="1" t="s">
        <v>74</v>
      </c>
      <c r="X629" s="1" t="s">
        <v>74</v>
      </c>
      <c r="Y629" s="1" t="s">
        <v>74</v>
      </c>
      <c r="Z629" s="1" t="s">
        <v>74</v>
      </c>
      <c r="AA629" s="1" t="s">
        <v>6440</v>
      </c>
      <c r="AB629" s="1" t="s">
        <v>6441</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6442</v>
      </c>
      <c r="AP629" s="1" t="s">
        <v>74</v>
      </c>
      <c r="AQ629" s="1" t="s">
        <v>74</v>
      </c>
      <c r="AR629" s="1" t="s">
        <v>74</v>
      </c>
      <c r="AS629" s="1" t="s">
        <v>74</v>
      </c>
      <c r="AT629" s="1" t="s">
        <v>264</v>
      </c>
      <c r="AU629" s="1">
        <v>2018.0</v>
      </c>
      <c r="AV629" s="1">
        <v>20.0</v>
      </c>
      <c r="AW629" s="1">
        <v>1.0</v>
      </c>
      <c r="AX629" s="1" t="s">
        <v>74</v>
      </c>
      <c r="AY629" s="1" t="s">
        <v>74</v>
      </c>
      <c r="AZ629" s="1" t="s">
        <v>74</v>
      </c>
      <c r="BA629" s="1" t="s">
        <v>74</v>
      </c>
      <c r="BB629" s="1" t="s">
        <v>74</v>
      </c>
      <c r="BC629" s="1" t="s">
        <v>74</v>
      </c>
      <c r="BD629" s="1" t="s">
        <v>6443</v>
      </c>
      <c r="BE629" s="1" t="s">
        <v>6444</v>
      </c>
      <c r="BF629" s="2" t="str">
        <f>HYPERLINK("http://dx.doi.org/10.2196/jmir.8021","http://dx.doi.org/10.2196/jmir.8021")</f>
        <v>http://dx.doi.org/10.2196/jmir.8021</v>
      </c>
      <c r="BG629" s="1" t="s">
        <v>74</v>
      </c>
      <c r="BH629" s="1" t="s">
        <v>74</v>
      </c>
      <c r="BI629" s="1" t="s">
        <v>74</v>
      </c>
      <c r="BJ629" s="1" t="s">
        <v>74</v>
      </c>
      <c r="BK629" s="1" t="s">
        <v>74</v>
      </c>
      <c r="BL629" s="1" t="s">
        <v>74</v>
      </c>
      <c r="BM629" s="1" t="s">
        <v>74</v>
      </c>
      <c r="BN629" s="1">
        <v>2.9386172E7</v>
      </c>
      <c r="BO629" s="1" t="s">
        <v>74</v>
      </c>
      <c r="BP629" s="1" t="s">
        <v>74</v>
      </c>
      <c r="BQ629" s="1" t="s">
        <v>74</v>
      </c>
      <c r="BR629" s="1" t="s">
        <v>74</v>
      </c>
      <c r="BS629" s="1" t="s">
        <v>6445</v>
      </c>
      <c r="BT629" s="1" t="str">
        <f>HYPERLINK("https%3A%2F%2Fwww.webofscience.com%2Fwos%2Fwoscc%2Ffull-record%2FWOS:000423879400002","View Full Record in Web of Science")</f>
        <v>View Full Record in Web of Science</v>
      </c>
    </row>
    <row r="630" ht="12.75" customHeight="1">
      <c r="A630" s="1" t="s">
        <v>72</v>
      </c>
      <c r="B630" s="1" t="s">
        <v>6446</v>
      </c>
      <c r="C630" s="1" t="s">
        <v>74</v>
      </c>
      <c r="D630" s="1" t="s">
        <v>74</v>
      </c>
      <c r="E630" s="1" t="s">
        <v>74</v>
      </c>
      <c r="F630" s="1" t="s">
        <v>6447</v>
      </c>
      <c r="G630" s="1" t="s">
        <v>74</v>
      </c>
      <c r="H630" s="1" t="s">
        <v>74</v>
      </c>
      <c r="I630" s="1" t="s">
        <v>6448</v>
      </c>
      <c r="J630" s="1" t="s">
        <v>136</v>
      </c>
      <c r="K630" s="1" t="s">
        <v>74</v>
      </c>
      <c r="L630" s="1" t="s">
        <v>74</v>
      </c>
      <c r="M630" s="1" t="s">
        <v>74</v>
      </c>
      <c r="N630" s="1" t="s">
        <v>74</v>
      </c>
      <c r="O630" s="1" t="s">
        <v>74</v>
      </c>
      <c r="P630" s="1" t="s">
        <v>74</v>
      </c>
      <c r="Q630" s="1" t="s">
        <v>74</v>
      </c>
      <c r="R630" s="1" t="s">
        <v>74</v>
      </c>
      <c r="S630" s="1" t="s">
        <v>74</v>
      </c>
      <c r="T630" s="1" t="s">
        <v>74</v>
      </c>
      <c r="U630" s="1" t="s">
        <v>74</v>
      </c>
      <c r="V630" s="1" t="s">
        <v>6449</v>
      </c>
      <c r="W630" s="1" t="s">
        <v>74</v>
      </c>
      <c r="X630" s="1" t="s">
        <v>74</v>
      </c>
      <c r="Y630" s="1" t="s">
        <v>74</v>
      </c>
      <c r="Z630" s="1" t="s">
        <v>74</v>
      </c>
      <c r="AA630" s="1" t="s">
        <v>6450</v>
      </c>
      <c r="AB630" s="1" t="s">
        <v>6451</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74</v>
      </c>
      <c r="AP630" s="1" t="s">
        <v>140</v>
      </c>
      <c r="AQ630" s="1" t="s">
        <v>74</v>
      </c>
      <c r="AR630" s="1" t="s">
        <v>74</v>
      </c>
      <c r="AS630" s="1" t="s">
        <v>74</v>
      </c>
      <c r="AT630" s="1" t="s">
        <v>106</v>
      </c>
      <c r="AU630" s="1">
        <v>2024.0</v>
      </c>
      <c r="AV630" s="1">
        <v>13.0</v>
      </c>
      <c r="AW630" s="1">
        <v>22.0</v>
      </c>
      <c r="AX630" s="1" t="s">
        <v>74</v>
      </c>
      <c r="AY630" s="1" t="s">
        <v>74</v>
      </c>
      <c r="AZ630" s="1" t="s">
        <v>74</v>
      </c>
      <c r="BA630" s="1" t="s">
        <v>74</v>
      </c>
      <c r="BB630" s="1" t="s">
        <v>74</v>
      </c>
      <c r="BC630" s="1" t="s">
        <v>74</v>
      </c>
      <c r="BD630" s="1">
        <v>6760.0</v>
      </c>
      <c r="BE630" s="1" t="s">
        <v>6452</v>
      </c>
      <c r="BF630" s="2" t="str">
        <f>HYPERLINK("http://dx.doi.org/10.3390/jcm13226760","http://dx.doi.org/10.3390/jcm13226760")</f>
        <v>http://dx.doi.org/10.3390/jcm13226760</v>
      </c>
      <c r="BG630" s="1" t="s">
        <v>74</v>
      </c>
      <c r="BH630" s="1" t="s">
        <v>74</v>
      </c>
      <c r="BI630" s="1" t="s">
        <v>74</v>
      </c>
      <c r="BJ630" s="1" t="s">
        <v>74</v>
      </c>
      <c r="BK630" s="1" t="s">
        <v>74</v>
      </c>
      <c r="BL630" s="1" t="s">
        <v>74</v>
      </c>
      <c r="BM630" s="1" t="s">
        <v>74</v>
      </c>
      <c r="BN630" s="1">
        <v>3.9597903E7</v>
      </c>
      <c r="BO630" s="1" t="s">
        <v>74</v>
      </c>
      <c r="BP630" s="1" t="s">
        <v>74</v>
      </c>
      <c r="BQ630" s="1" t="s">
        <v>74</v>
      </c>
      <c r="BR630" s="1" t="s">
        <v>74</v>
      </c>
      <c r="BS630" s="1" t="s">
        <v>6453</v>
      </c>
      <c r="BT630" s="1" t="str">
        <f>HYPERLINK("https%3A%2F%2Fwww.webofscience.com%2Fwos%2Fwoscc%2Ffull-record%2FWOS:001366312600001","View Full Record in Web of Science")</f>
        <v>View Full Record in Web of Science</v>
      </c>
    </row>
    <row r="631" ht="12.75" customHeight="1">
      <c r="A631" s="1" t="s">
        <v>72</v>
      </c>
      <c r="B631" s="1" t="s">
        <v>6454</v>
      </c>
      <c r="C631" s="1" t="s">
        <v>74</v>
      </c>
      <c r="D631" s="1" t="s">
        <v>74</v>
      </c>
      <c r="E631" s="1" t="s">
        <v>74</v>
      </c>
      <c r="F631" s="1" t="s">
        <v>6455</v>
      </c>
      <c r="G631" s="1" t="s">
        <v>74</v>
      </c>
      <c r="H631" s="1" t="s">
        <v>74</v>
      </c>
      <c r="I631" s="1" t="s">
        <v>6456</v>
      </c>
      <c r="J631" s="1" t="s">
        <v>1237</v>
      </c>
      <c r="K631" s="1" t="s">
        <v>74</v>
      </c>
      <c r="L631" s="1" t="s">
        <v>74</v>
      </c>
      <c r="M631" s="1" t="s">
        <v>74</v>
      </c>
      <c r="N631" s="1" t="s">
        <v>74</v>
      </c>
      <c r="O631" s="1" t="s">
        <v>74</v>
      </c>
      <c r="P631" s="1" t="s">
        <v>74</v>
      </c>
      <c r="Q631" s="1" t="s">
        <v>74</v>
      </c>
      <c r="R631" s="1" t="s">
        <v>74</v>
      </c>
      <c r="S631" s="1" t="s">
        <v>74</v>
      </c>
      <c r="T631" s="1" t="s">
        <v>74</v>
      </c>
      <c r="U631" s="1" t="s">
        <v>74</v>
      </c>
      <c r="V631" s="1" t="s">
        <v>6457</v>
      </c>
      <c r="W631" s="1" t="s">
        <v>74</v>
      </c>
      <c r="X631" s="1" t="s">
        <v>74</v>
      </c>
      <c r="Y631" s="1" t="s">
        <v>74</v>
      </c>
      <c r="Z631" s="1" t="s">
        <v>74</v>
      </c>
      <c r="AA631" s="1" t="s">
        <v>6458</v>
      </c>
      <c r="AB631" s="1" t="s">
        <v>74</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1241</v>
      </c>
      <c r="AP631" s="1" t="s">
        <v>1242</v>
      </c>
      <c r="AQ631" s="1" t="s">
        <v>74</v>
      </c>
      <c r="AR631" s="1" t="s">
        <v>74</v>
      </c>
      <c r="AS631" s="1" t="s">
        <v>74</v>
      </c>
      <c r="AT631" s="1" t="s">
        <v>74</v>
      </c>
      <c r="AU631" s="1">
        <v>2024.0</v>
      </c>
      <c r="AV631" s="1" t="s">
        <v>74</v>
      </c>
      <c r="AW631" s="1">
        <v>61.0</v>
      </c>
      <c r="AX631" s="1" t="s">
        <v>74</v>
      </c>
      <c r="AY631" s="1" t="s">
        <v>74</v>
      </c>
      <c r="AZ631" s="1" t="s">
        <v>74</v>
      </c>
      <c r="BA631" s="1" t="s">
        <v>74</v>
      </c>
      <c r="BB631" s="1">
        <v>415.0</v>
      </c>
      <c r="BC631" s="1">
        <v>420.0</v>
      </c>
      <c r="BD631" s="1" t="s">
        <v>74</v>
      </c>
      <c r="BE631" s="1" t="s">
        <v>74</v>
      </c>
      <c r="BF631" s="1" t="s">
        <v>74</v>
      </c>
      <c r="BG631" s="1" t="s">
        <v>74</v>
      </c>
      <c r="BH631" s="1" t="s">
        <v>74</v>
      </c>
      <c r="BI631" s="1" t="s">
        <v>74</v>
      </c>
      <c r="BJ631" s="1" t="s">
        <v>74</v>
      </c>
      <c r="BK631" s="1" t="s">
        <v>74</v>
      </c>
      <c r="BL631" s="1" t="s">
        <v>74</v>
      </c>
      <c r="BM631" s="1" t="s">
        <v>74</v>
      </c>
      <c r="BN631" s="1" t="s">
        <v>74</v>
      </c>
      <c r="BO631" s="1" t="s">
        <v>74</v>
      </c>
      <c r="BP631" s="1" t="s">
        <v>74</v>
      </c>
      <c r="BQ631" s="1" t="s">
        <v>74</v>
      </c>
      <c r="BR631" s="1" t="s">
        <v>74</v>
      </c>
      <c r="BS631" s="1" t="s">
        <v>6459</v>
      </c>
      <c r="BT631" s="1" t="str">
        <f>HYPERLINK("https%3A%2F%2Fwww.webofscience.com%2Fwos%2Fwoscc%2Ffull-record%2FWOS:001335697100001","View Full Record in Web of Science")</f>
        <v>View Full Record in Web of Science</v>
      </c>
    </row>
    <row r="632" ht="12.75" customHeight="1">
      <c r="A632" s="1" t="s">
        <v>72</v>
      </c>
      <c r="B632" s="1" t="s">
        <v>6460</v>
      </c>
      <c r="C632" s="1" t="s">
        <v>74</v>
      </c>
      <c r="D632" s="1" t="s">
        <v>74</v>
      </c>
      <c r="E632" s="1" t="s">
        <v>74</v>
      </c>
      <c r="F632" s="1" t="s">
        <v>6461</v>
      </c>
      <c r="G632" s="1" t="s">
        <v>74</v>
      </c>
      <c r="H632" s="1" t="s">
        <v>74</v>
      </c>
      <c r="I632" s="1" t="s">
        <v>6462</v>
      </c>
      <c r="J632" s="1" t="s">
        <v>6463</v>
      </c>
      <c r="K632" s="1" t="s">
        <v>74</v>
      </c>
      <c r="L632" s="1" t="s">
        <v>74</v>
      </c>
      <c r="M632" s="1" t="s">
        <v>74</v>
      </c>
      <c r="N632" s="1" t="s">
        <v>74</v>
      </c>
      <c r="O632" s="1" t="s">
        <v>74</v>
      </c>
      <c r="P632" s="1" t="s">
        <v>74</v>
      </c>
      <c r="Q632" s="1" t="s">
        <v>74</v>
      </c>
      <c r="R632" s="1" t="s">
        <v>74</v>
      </c>
      <c r="S632" s="1" t="s">
        <v>74</v>
      </c>
      <c r="T632" s="1" t="s">
        <v>74</v>
      </c>
      <c r="U632" s="1" t="s">
        <v>74</v>
      </c>
      <c r="V632" s="1" t="s">
        <v>6464</v>
      </c>
      <c r="W632" s="1" t="s">
        <v>74</v>
      </c>
      <c r="X632" s="1" t="s">
        <v>74</v>
      </c>
      <c r="Y632" s="1" t="s">
        <v>74</v>
      </c>
      <c r="Z632" s="1" t="s">
        <v>74</v>
      </c>
      <c r="AA632" s="1" t="s">
        <v>6465</v>
      </c>
      <c r="AB632" s="1" t="s">
        <v>6466</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6467</v>
      </c>
      <c r="AP632" s="1" t="s">
        <v>6468</v>
      </c>
      <c r="AQ632" s="1" t="s">
        <v>74</v>
      </c>
      <c r="AR632" s="1" t="s">
        <v>74</v>
      </c>
      <c r="AS632" s="1" t="s">
        <v>74</v>
      </c>
      <c r="AT632" s="1" t="s">
        <v>202</v>
      </c>
      <c r="AU632" s="1">
        <v>2022.0</v>
      </c>
      <c r="AV632" s="1">
        <v>39.0</v>
      </c>
      <c r="AW632" s="1">
        <v>7.0</v>
      </c>
      <c r="AX632" s="1" t="s">
        <v>74</v>
      </c>
      <c r="AY632" s="1" t="s">
        <v>74</v>
      </c>
      <c r="AZ632" s="1" t="s">
        <v>74</v>
      </c>
      <c r="BA632" s="1" t="s">
        <v>74</v>
      </c>
      <c r="BB632" s="1">
        <v>2134.0</v>
      </c>
      <c r="BC632" s="1">
        <v>2153.0</v>
      </c>
      <c r="BD632" s="1">
        <v>2.654075221075264E15</v>
      </c>
      <c r="BE632" s="1" t="s">
        <v>6469</v>
      </c>
      <c r="BF632" s="2" t="str">
        <f>HYPERLINK("http://dx.doi.org/10.1177/02654075221075264","http://dx.doi.org/10.1177/02654075221075264")</f>
        <v>http://dx.doi.org/10.1177/02654075221075264</v>
      </c>
      <c r="BG632" s="1" t="s">
        <v>74</v>
      </c>
      <c r="BH632" s="1" t="s">
        <v>1519</v>
      </c>
      <c r="BI632" s="1" t="s">
        <v>74</v>
      </c>
      <c r="BJ632" s="1" t="s">
        <v>74</v>
      </c>
      <c r="BK632" s="1" t="s">
        <v>74</v>
      </c>
      <c r="BL632" s="1" t="s">
        <v>74</v>
      </c>
      <c r="BM632" s="1" t="s">
        <v>74</v>
      </c>
      <c r="BN632" s="1" t="s">
        <v>74</v>
      </c>
      <c r="BO632" s="1" t="s">
        <v>74</v>
      </c>
      <c r="BP632" s="1" t="s">
        <v>74</v>
      </c>
      <c r="BQ632" s="1" t="s">
        <v>74</v>
      </c>
      <c r="BR632" s="1" t="s">
        <v>74</v>
      </c>
      <c r="BS632" s="1" t="s">
        <v>6470</v>
      </c>
      <c r="BT632" s="1" t="str">
        <f>HYPERLINK("https%3A%2F%2Fwww.webofscience.com%2Fwos%2Fwoscc%2Ffull-record%2FWOS:000759433700001","View Full Record in Web of Science")</f>
        <v>View Full Record in Web of Science</v>
      </c>
    </row>
    <row r="633" ht="12.75" customHeight="1">
      <c r="A633" s="1" t="s">
        <v>72</v>
      </c>
      <c r="B633" s="1" t="s">
        <v>1288</v>
      </c>
      <c r="C633" s="1" t="s">
        <v>74</v>
      </c>
      <c r="D633" s="1" t="s">
        <v>74</v>
      </c>
      <c r="E633" s="1" t="s">
        <v>74</v>
      </c>
      <c r="F633" s="1" t="s">
        <v>1289</v>
      </c>
      <c r="G633" s="1" t="s">
        <v>74</v>
      </c>
      <c r="H633" s="1" t="s">
        <v>74</v>
      </c>
      <c r="I633" s="1" t="s">
        <v>6471</v>
      </c>
      <c r="J633" s="1" t="s">
        <v>1291</v>
      </c>
      <c r="K633" s="1" t="s">
        <v>74</v>
      </c>
      <c r="L633" s="1" t="s">
        <v>74</v>
      </c>
      <c r="M633" s="1" t="s">
        <v>74</v>
      </c>
      <c r="N633" s="1" t="s">
        <v>74</v>
      </c>
      <c r="O633" s="1" t="s">
        <v>74</v>
      </c>
      <c r="P633" s="1" t="s">
        <v>74</v>
      </c>
      <c r="Q633" s="1" t="s">
        <v>74</v>
      </c>
      <c r="R633" s="1" t="s">
        <v>74</v>
      </c>
      <c r="S633" s="1" t="s">
        <v>74</v>
      </c>
      <c r="T633" s="1" t="s">
        <v>74</v>
      </c>
      <c r="U633" s="1" t="s">
        <v>74</v>
      </c>
      <c r="V633" s="1" t="s">
        <v>6472</v>
      </c>
      <c r="W633" s="1" t="s">
        <v>74</v>
      </c>
      <c r="X633" s="1" t="s">
        <v>74</v>
      </c>
      <c r="Y633" s="1" t="s">
        <v>74</v>
      </c>
      <c r="Z633" s="1" t="s">
        <v>74</v>
      </c>
      <c r="AA633" s="1" t="s">
        <v>1292</v>
      </c>
      <c r="AB633" s="1" t="s">
        <v>74</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1293</v>
      </c>
      <c r="AP633" s="1" t="s">
        <v>74</v>
      </c>
      <c r="AQ633" s="1" t="s">
        <v>74</v>
      </c>
      <c r="AR633" s="1" t="s">
        <v>74</v>
      </c>
      <c r="AS633" s="1" t="s">
        <v>74</v>
      </c>
      <c r="AT633" s="1" t="s">
        <v>74</v>
      </c>
      <c r="AU633" s="1">
        <v>2022.0</v>
      </c>
      <c r="AV633" s="1" t="s">
        <v>74</v>
      </c>
      <c r="AW633" s="1" t="s">
        <v>74</v>
      </c>
      <c r="AX633" s="1" t="s">
        <v>74</v>
      </c>
      <c r="AY633" s="1" t="s">
        <v>74</v>
      </c>
      <c r="AZ633" s="1" t="s">
        <v>74</v>
      </c>
      <c r="BA633" s="1" t="s">
        <v>74</v>
      </c>
      <c r="BB633" s="1" t="s">
        <v>74</v>
      </c>
      <c r="BC633" s="1" t="s">
        <v>74</v>
      </c>
      <c r="BD633" s="1" t="s">
        <v>74</v>
      </c>
      <c r="BE633" s="1" t="s">
        <v>74</v>
      </c>
      <c r="BF633" s="1" t="s">
        <v>74</v>
      </c>
      <c r="BG633" s="1" t="s">
        <v>74</v>
      </c>
      <c r="BH633" s="1" t="s">
        <v>74</v>
      </c>
      <c r="BI633" s="1" t="s">
        <v>74</v>
      </c>
      <c r="BJ633" s="1" t="s">
        <v>74</v>
      </c>
      <c r="BK633" s="1" t="s">
        <v>74</v>
      </c>
      <c r="BL633" s="1" t="s">
        <v>74</v>
      </c>
      <c r="BM633" s="1" t="s">
        <v>74</v>
      </c>
      <c r="BN633" s="1" t="s">
        <v>74</v>
      </c>
      <c r="BO633" s="1" t="s">
        <v>74</v>
      </c>
      <c r="BP633" s="1" t="s">
        <v>74</v>
      </c>
      <c r="BQ633" s="1" t="s">
        <v>74</v>
      </c>
      <c r="BR633" s="1" t="s">
        <v>74</v>
      </c>
      <c r="BS633" s="1" t="s">
        <v>6473</v>
      </c>
      <c r="BT633" s="1" t="str">
        <f>HYPERLINK("https%3A%2F%2Fwww.webofscience.com%2Fwos%2Fwoscc%2Ffull-record%2FWOS:000899682200008","View Full Record in Web of Science")</f>
        <v>View Full Record in Web of Science</v>
      </c>
    </row>
    <row r="634" ht="12.75" customHeight="1">
      <c r="A634" s="1" t="s">
        <v>72</v>
      </c>
      <c r="B634" s="1" t="s">
        <v>6474</v>
      </c>
      <c r="C634" s="1" t="s">
        <v>74</v>
      </c>
      <c r="D634" s="1" t="s">
        <v>74</v>
      </c>
      <c r="E634" s="1" t="s">
        <v>74</v>
      </c>
      <c r="F634" s="1" t="s">
        <v>6475</v>
      </c>
      <c r="G634" s="1" t="s">
        <v>74</v>
      </c>
      <c r="H634" s="1" t="s">
        <v>74</v>
      </c>
      <c r="I634" s="1" t="s">
        <v>6476</v>
      </c>
      <c r="J634" s="1" t="s">
        <v>1638</v>
      </c>
      <c r="K634" s="1" t="s">
        <v>74</v>
      </c>
      <c r="L634" s="1" t="s">
        <v>74</v>
      </c>
      <c r="M634" s="1" t="s">
        <v>74</v>
      </c>
      <c r="N634" s="1" t="s">
        <v>74</v>
      </c>
      <c r="O634" s="1" t="s">
        <v>74</v>
      </c>
      <c r="P634" s="1" t="s">
        <v>74</v>
      </c>
      <c r="Q634" s="1" t="s">
        <v>74</v>
      </c>
      <c r="R634" s="1" t="s">
        <v>74</v>
      </c>
      <c r="S634" s="1" t="s">
        <v>74</v>
      </c>
      <c r="T634" s="1" t="s">
        <v>74</v>
      </c>
      <c r="U634" s="1" t="s">
        <v>74</v>
      </c>
      <c r="V634" s="1" t="s">
        <v>6477</v>
      </c>
      <c r="W634" s="1" t="s">
        <v>74</v>
      </c>
      <c r="X634" s="1" t="s">
        <v>74</v>
      </c>
      <c r="Y634" s="1" t="s">
        <v>74</v>
      </c>
      <c r="Z634" s="1" t="s">
        <v>74</v>
      </c>
      <c r="AA634" s="1" t="s">
        <v>6478</v>
      </c>
      <c r="AB634" s="1" t="s">
        <v>6479</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1642</v>
      </c>
      <c r="AP634" s="1" t="s">
        <v>74</v>
      </c>
      <c r="AQ634" s="1" t="s">
        <v>74</v>
      </c>
      <c r="AR634" s="1" t="s">
        <v>74</v>
      </c>
      <c r="AS634" s="1" t="s">
        <v>74</v>
      </c>
      <c r="AT634" s="1" t="s">
        <v>94</v>
      </c>
      <c r="AU634" s="1">
        <v>2018.0</v>
      </c>
      <c r="AV634" s="1">
        <v>8.0</v>
      </c>
      <c r="AW634" s="1">
        <v>12.0</v>
      </c>
      <c r="AX634" s="1" t="s">
        <v>74</v>
      </c>
      <c r="AY634" s="1" t="s">
        <v>74</v>
      </c>
      <c r="AZ634" s="1" t="s">
        <v>74</v>
      </c>
      <c r="BA634" s="1" t="s">
        <v>74</v>
      </c>
      <c r="BB634" s="1" t="s">
        <v>74</v>
      </c>
      <c r="BC634" s="1" t="s">
        <v>74</v>
      </c>
      <c r="BD634" s="1">
        <v>985.0</v>
      </c>
      <c r="BE634" s="1" t="s">
        <v>6480</v>
      </c>
      <c r="BF634" s="2" t="str">
        <f>HYPERLINK("http://dx.doi.org/10.3390/nano8120985","http://dx.doi.org/10.3390/nano8120985")</f>
        <v>http://dx.doi.org/10.3390/nano8120985</v>
      </c>
      <c r="BG634" s="1" t="s">
        <v>74</v>
      </c>
      <c r="BH634" s="1" t="s">
        <v>74</v>
      </c>
      <c r="BI634" s="1" t="s">
        <v>74</v>
      </c>
      <c r="BJ634" s="1" t="s">
        <v>74</v>
      </c>
      <c r="BK634" s="1" t="s">
        <v>74</v>
      </c>
      <c r="BL634" s="1" t="s">
        <v>74</v>
      </c>
      <c r="BM634" s="1" t="s">
        <v>74</v>
      </c>
      <c r="BN634" s="1">
        <v>3.0486514E7</v>
      </c>
      <c r="BO634" s="1" t="s">
        <v>74</v>
      </c>
      <c r="BP634" s="1" t="s">
        <v>74</v>
      </c>
      <c r="BQ634" s="1" t="s">
        <v>74</v>
      </c>
      <c r="BR634" s="1" t="s">
        <v>74</v>
      </c>
      <c r="BS634" s="1" t="s">
        <v>6481</v>
      </c>
      <c r="BT634" s="1" t="str">
        <f>HYPERLINK("https%3A%2F%2Fwww.webofscience.com%2Fwos%2Fwoscc%2Ffull-record%2FWOS:000455323100023","View Full Record in Web of Science")</f>
        <v>View Full Record in Web of Science</v>
      </c>
    </row>
    <row r="635" ht="12.75" customHeight="1">
      <c r="A635" s="1" t="s">
        <v>72</v>
      </c>
      <c r="B635" s="1" t="s">
        <v>6482</v>
      </c>
      <c r="C635" s="1" t="s">
        <v>74</v>
      </c>
      <c r="D635" s="1" t="s">
        <v>74</v>
      </c>
      <c r="E635" s="1" t="s">
        <v>74</v>
      </c>
      <c r="F635" s="1" t="s">
        <v>6483</v>
      </c>
      <c r="G635" s="1" t="s">
        <v>74</v>
      </c>
      <c r="H635" s="1" t="s">
        <v>74</v>
      </c>
      <c r="I635" s="1" t="s">
        <v>6484</v>
      </c>
      <c r="J635" s="1" t="s">
        <v>147</v>
      </c>
      <c r="K635" s="1" t="s">
        <v>74</v>
      </c>
      <c r="L635" s="1" t="s">
        <v>74</v>
      </c>
      <c r="M635" s="1" t="s">
        <v>74</v>
      </c>
      <c r="N635" s="1" t="s">
        <v>74</v>
      </c>
      <c r="O635" s="1" t="s">
        <v>74</v>
      </c>
      <c r="P635" s="1" t="s">
        <v>74</v>
      </c>
      <c r="Q635" s="1" t="s">
        <v>74</v>
      </c>
      <c r="R635" s="1" t="s">
        <v>74</v>
      </c>
      <c r="S635" s="1" t="s">
        <v>74</v>
      </c>
      <c r="T635" s="1" t="s">
        <v>74</v>
      </c>
      <c r="U635" s="1" t="s">
        <v>74</v>
      </c>
      <c r="V635" s="1" t="s">
        <v>6485</v>
      </c>
      <c r="W635" s="1" t="s">
        <v>74</v>
      </c>
      <c r="X635" s="1" t="s">
        <v>74</v>
      </c>
      <c r="Y635" s="1" t="s">
        <v>74</v>
      </c>
      <c r="Z635" s="1" t="s">
        <v>74</v>
      </c>
      <c r="AA635" s="1" t="s">
        <v>6486</v>
      </c>
      <c r="AB635" s="1" t="s">
        <v>6487</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151</v>
      </c>
      <c r="AP635" s="1" t="s">
        <v>74</v>
      </c>
      <c r="AQ635" s="1" t="s">
        <v>74</v>
      </c>
      <c r="AR635" s="1" t="s">
        <v>74</v>
      </c>
      <c r="AS635" s="1" t="s">
        <v>74</v>
      </c>
      <c r="AT635" s="1" t="s">
        <v>5347</v>
      </c>
      <c r="AU635" s="1">
        <v>2012.0</v>
      </c>
      <c r="AV635" s="1">
        <v>7.0</v>
      </c>
      <c r="AW635" s="1">
        <v>11.0</v>
      </c>
      <c r="AX635" s="1" t="s">
        <v>74</v>
      </c>
      <c r="AY635" s="1" t="s">
        <v>74</v>
      </c>
      <c r="AZ635" s="1" t="s">
        <v>74</v>
      </c>
      <c r="BA635" s="1" t="s">
        <v>74</v>
      </c>
      <c r="BB635" s="1" t="s">
        <v>74</v>
      </c>
      <c r="BC635" s="1" t="s">
        <v>74</v>
      </c>
      <c r="BD635" s="1" t="s">
        <v>6488</v>
      </c>
      <c r="BE635" s="1" t="s">
        <v>6489</v>
      </c>
      <c r="BF635" s="2" t="str">
        <f>HYPERLINK("http://dx.doi.org/10.1371/journal.pone.0049640","http://dx.doi.org/10.1371/journal.pone.0049640")</f>
        <v>http://dx.doi.org/10.1371/journal.pone.0049640</v>
      </c>
      <c r="BG635" s="1" t="s">
        <v>74</v>
      </c>
      <c r="BH635" s="1" t="s">
        <v>74</v>
      </c>
      <c r="BI635" s="1" t="s">
        <v>74</v>
      </c>
      <c r="BJ635" s="1" t="s">
        <v>74</v>
      </c>
      <c r="BK635" s="1" t="s">
        <v>74</v>
      </c>
      <c r="BL635" s="1" t="s">
        <v>74</v>
      </c>
      <c r="BM635" s="1" t="s">
        <v>74</v>
      </c>
      <c r="BN635" s="1">
        <v>2.318539E7</v>
      </c>
      <c r="BO635" s="1" t="s">
        <v>74</v>
      </c>
      <c r="BP635" s="1" t="s">
        <v>74</v>
      </c>
      <c r="BQ635" s="1" t="s">
        <v>74</v>
      </c>
      <c r="BR635" s="1" t="s">
        <v>74</v>
      </c>
      <c r="BS635" s="1" t="s">
        <v>6490</v>
      </c>
      <c r="BT635" s="1" t="str">
        <f>HYPERLINK("https%3A%2F%2Fwww.webofscience.com%2Fwos%2Fwoscc%2Ffull-record%2FWOS:000311821000073","View Full Record in Web of Science")</f>
        <v>View Full Record in Web of Science</v>
      </c>
    </row>
    <row r="636" ht="12.75" customHeight="1">
      <c r="A636" s="1" t="s">
        <v>72</v>
      </c>
      <c r="B636" s="1" t="s">
        <v>6491</v>
      </c>
      <c r="C636" s="1" t="s">
        <v>74</v>
      </c>
      <c r="D636" s="1" t="s">
        <v>74</v>
      </c>
      <c r="E636" s="1" t="s">
        <v>74</v>
      </c>
      <c r="F636" s="1" t="s">
        <v>6492</v>
      </c>
      <c r="G636" s="1" t="s">
        <v>74</v>
      </c>
      <c r="H636" s="1" t="s">
        <v>74</v>
      </c>
      <c r="I636" s="1" t="s">
        <v>6493</v>
      </c>
      <c r="J636" s="1" t="s">
        <v>606</v>
      </c>
      <c r="K636" s="1" t="s">
        <v>74</v>
      </c>
      <c r="L636" s="1" t="s">
        <v>74</v>
      </c>
      <c r="M636" s="1" t="s">
        <v>74</v>
      </c>
      <c r="N636" s="1" t="s">
        <v>74</v>
      </c>
      <c r="O636" s="1" t="s">
        <v>74</v>
      </c>
      <c r="P636" s="1" t="s">
        <v>74</v>
      </c>
      <c r="Q636" s="1" t="s">
        <v>74</v>
      </c>
      <c r="R636" s="1" t="s">
        <v>74</v>
      </c>
      <c r="S636" s="1" t="s">
        <v>74</v>
      </c>
      <c r="T636" s="1" t="s">
        <v>74</v>
      </c>
      <c r="U636" s="1" t="s">
        <v>74</v>
      </c>
      <c r="V636" s="1" t="s">
        <v>6494</v>
      </c>
      <c r="W636" s="1" t="s">
        <v>74</v>
      </c>
      <c r="X636" s="1" t="s">
        <v>74</v>
      </c>
      <c r="Y636" s="1" t="s">
        <v>74</v>
      </c>
      <c r="Z636" s="1" t="s">
        <v>74</v>
      </c>
      <c r="AA636" s="1" t="s">
        <v>6495</v>
      </c>
      <c r="AB636" s="1" t="s">
        <v>6496</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74</v>
      </c>
      <c r="AP636" s="1" t="s">
        <v>610</v>
      </c>
      <c r="AQ636" s="1" t="s">
        <v>74</v>
      </c>
      <c r="AR636" s="1" t="s">
        <v>74</v>
      </c>
      <c r="AS636" s="1" t="s">
        <v>74</v>
      </c>
      <c r="AT636" s="1" t="s">
        <v>1428</v>
      </c>
      <c r="AU636" s="1">
        <v>2023.0</v>
      </c>
      <c r="AV636" s="1">
        <v>13.0</v>
      </c>
      <c r="AW636" s="1">
        <v>48.0</v>
      </c>
      <c r="AX636" s="1" t="s">
        <v>74</v>
      </c>
      <c r="AY636" s="1" t="s">
        <v>74</v>
      </c>
      <c r="AZ636" s="1" t="s">
        <v>74</v>
      </c>
      <c r="BA636" s="1" t="s">
        <v>74</v>
      </c>
      <c r="BB636" s="1">
        <v>34210.0</v>
      </c>
      <c r="BC636" s="1">
        <v>34223.0</v>
      </c>
      <c r="BD636" s="1" t="s">
        <v>74</v>
      </c>
      <c r="BE636" s="1" t="s">
        <v>6497</v>
      </c>
      <c r="BF636" s="2" t="str">
        <f>HYPERLINK("http://dx.doi.org/10.1039/d3ra05484e","http://dx.doi.org/10.1039/d3ra05484e")</f>
        <v>http://dx.doi.org/10.1039/d3ra05484e</v>
      </c>
      <c r="BG636" s="1" t="s">
        <v>74</v>
      </c>
      <c r="BH636" s="1" t="s">
        <v>74</v>
      </c>
      <c r="BI636" s="1" t="s">
        <v>74</v>
      </c>
      <c r="BJ636" s="1" t="s">
        <v>74</v>
      </c>
      <c r="BK636" s="1" t="s">
        <v>74</v>
      </c>
      <c r="BL636" s="1" t="s">
        <v>74</v>
      </c>
      <c r="BM636" s="1" t="s">
        <v>74</v>
      </c>
      <c r="BN636" s="1">
        <v>3.8020033E7</v>
      </c>
      <c r="BO636" s="1" t="s">
        <v>74</v>
      </c>
      <c r="BP636" s="1" t="s">
        <v>74</v>
      </c>
      <c r="BQ636" s="1" t="s">
        <v>74</v>
      </c>
      <c r="BR636" s="1" t="s">
        <v>74</v>
      </c>
      <c r="BS636" s="1" t="s">
        <v>6498</v>
      </c>
      <c r="BT636" s="1" t="str">
        <f>HYPERLINK("https%3A%2F%2Fwww.webofscience.com%2Fwos%2Fwoscc%2Ffull-record%2FWOS:001108201200001","View Full Record in Web of Science")</f>
        <v>View Full Record in Web of Science</v>
      </c>
    </row>
    <row r="637" ht="12.75" customHeight="1">
      <c r="A637" s="1" t="s">
        <v>72</v>
      </c>
      <c r="B637" s="1" t="s">
        <v>6499</v>
      </c>
      <c r="C637" s="1" t="s">
        <v>74</v>
      </c>
      <c r="D637" s="1" t="s">
        <v>74</v>
      </c>
      <c r="E637" s="1" t="s">
        <v>74</v>
      </c>
      <c r="F637" s="1" t="s">
        <v>6500</v>
      </c>
      <c r="G637" s="1" t="s">
        <v>74</v>
      </c>
      <c r="H637" s="1" t="s">
        <v>74</v>
      </c>
      <c r="I637" s="1" t="s">
        <v>6501</v>
      </c>
      <c r="J637" s="1" t="s">
        <v>6502</v>
      </c>
      <c r="K637" s="1" t="s">
        <v>74</v>
      </c>
      <c r="L637" s="1" t="s">
        <v>74</v>
      </c>
      <c r="M637" s="1" t="s">
        <v>74</v>
      </c>
      <c r="N637" s="1" t="s">
        <v>74</v>
      </c>
      <c r="O637" s="1" t="s">
        <v>74</v>
      </c>
      <c r="P637" s="1" t="s">
        <v>74</v>
      </c>
      <c r="Q637" s="1" t="s">
        <v>74</v>
      </c>
      <c r="R637" s="1" t="s">
        <v>74</v>
      </c>
      <c r="S637" s="1" t="s">
        <v>74</v>
      </c>
      <c r="T637" s="1" t="s">
        <v>74</v>
      </c>
      <c r="U637" s="1" t="s">
        <v>74</v>
      </c>
      <c r="V637" s="1" t="s">
        <v>6503</v>
      </c>
      <c r="W637" s="1" t="s">
        <v>74</v>
      </c>
      <c r="X637" s="1" t="s">
        <v>74</v>
      </c>
      <c r="Y637" s="1" t="s">
        <v>74</v>
      </c>
      <c r="Z637" s="1" t="s">
        <v>74</v>
      </c>
      <c r="AA637" s="1" t="s">
        <v>6504</v>
      </c>
      <c r="AB637" s="1" t="s">
        <v>6505</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6506</v>
      </c>
      <c r="AP637" s="1" t="s">
        <v>6507</v>
      </c>
      <c r="AQ637" s="1" t="s">
        <v>74</v>
      </c>
      <c r="AR637" s="1" t="s">
        <v>74</v>
      </c>
      <c r="AS637" s="1" t="s">
        <v>74</v>
      </c>
      <c r="AT637" s="1" t="s">
        <v>264</v>
      </c>
      <c r="AU637" s="1">
        <v>2021.0</v>
      </c>
      <c r="AV637" s="1">
        <v>32.0</v>
      </c>
      <c r="AW637" s="1">
        <v>1.0</v>
      </c>
      <c r="AX637" s="1" t="s">
        <v>74</v>
      </c>
      <c r="AY637" s="1" t="s">
        <v>74</v>
      </c>
      <c r="AZ637" s="1" t="s">
        <v>74</v>
      </c>
      <c r="BA637" s="1" t="s">
        <v>74</v>
      </c>
      <c r="BB637" s="1">
        <v>1.0</v>
      </c>
      <c r="BC637" s="1">
        <v>3.0</v>
      </c>
      <c r="BD637" s="1" t="s">
        <v>74</v>
      </c>
      <c r="BE637" s="1" t="s">
        <v>6508</v>
      </c>
      <c r="BF637" s="2" t="str">
        <f>HYPERLINK("http://dx.doi.org/10.1007/s10552-020-01367-0","http://dx.doi.org/10.1007/s10552-020-01367-0")</f>
        <v>http://dx.doi.org/10.1007/s10552-020-01367-0</v>
      </c>
      <c r="BG637" s="1" t="s">
        <v>74</v>
      </c>
      <c r="BH637" s="1" t="s">
        <v>6509</v>
      </c>
      <c r="BI637" s="1" t="s">
        <v>74</v>
      </c>
      <c r="BJ637" s="1" t="s">
        <v>74</v>
      </c>
      <c r="BK637" s="1" t="s">
        <v>74</v>
      </c>
      <c r="BL637" s="1" t="s">
        <v>74</v>
      </c>
      <c r="BM637" s="1" t="s">
        <v>74</v>
      </c>
      <c r="BN637" s="1">
        <v>3.3196913E7</v>
      </c>
      <c r="BO637" s="1" t="s">
        <v>74</v>
      </c>
      <c r="BP637" s="1" t="s">
        <v>74</v>
      </c>
      <c r="BQ637" s="1" t="s">
        <v>74</v>
      </c>
      <c r="BR637" s="1" t="s">
        <v>74</v>
      </c>
      <c r="BS637" s="1" t="s">
        <v>6510</v>
      </c>
      <c r="BT637" s="1" t="str">
        <f>HYPERLINK("https%3A%2F%2Fwww.webofscience.com%2Fwos%2Fwoscc%2Ffull-record%2FWOS:000590458900001","View Full Record in Web of Science")</f>
        <v>View Full Record in Web of Science</v>
      </c>
    </row>
    <row r="638" ht="12.75" customHeight="1">
      <c r="A638" s="1" t="s">
        <v>72</v>
      </c>
      <c r="B638" s="1" t="s">
        <v>6511</v>
      </c>
      <c r="C638" s="1" t="s">
        <v>74</v>
      </c>
      <c r="D638" s="1" t="s">
        <v>74</v>
      </c>
      <c r="E638" s="1" t="s">
        <v>74</v>
      </c>
      <c r="F638" s="1" t="s">
        <v>6512</v>
      </c>
      <c r="G638" s="1" t="s">
        <v>74</v>
      </c>
      <c r="H638" s="1" t="s">
        <v>74</v>
      </c>
      <c r="I638" s="1" t="s">
        <v>6513</v>
      </c>
      <c r="J638" s="1" t="s">
        <v>3994</v>
      </c>
      <c r="K638" s="1" t="s">
        <v>74</v>
      </c>
      <c r="L638" s="1" t="s">
        <v>74</v>
      </c>
      <c r="M638" s="1" t="s">
        <v>74</v>
      </c>
      <c r="N638" s="1" t="s">
        <v>74</v>
      </c>
      <c r="O638" s="1" t="s">
        <v>74</v>
      </c>
      <c r="P638" s="1" t="s">
        <v>74</v>
      </c>
      <c r="Q638" s="1" t="s">
        <v>74</v>
      </c>
      <c r="R638" s="1" t="s">
        <v>74</v>
      </c>
      <c r="S638" s="1" t="s">
        <v>74</v>
      </c>
      <c r="T638" s="1" t="s">
        <v>74</v>
      </c>
      <c r="U638" s="1" t="s">
        <v>74</v>
      </c>
      <c r="V638" s="1" t="s">
        <v>6514</v>
      </c>
      <c r="W638" s="1" t="s">
        <v>74</v>
      </c>
      <c r="X638" s="1" t="s">
        <v>74</v>
      </c>
      <c r="Y638" s="1" t="s">
        <v>74</v>
      </c>
      <c r="Z638" s="1" t="s">
        <v>74</v>
      </c>
      <c r="AA638" s="1" t="s">
        <v>6515</v>
      </c>
      <c r="AB638" s="1" t="s">
        <v>6516</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3998</v>
      </c>
      <c r="AP638" s="1" t="s">
        <v>3999</v>
      </c>
      <c r="AQ638" s="1" t="s">
        <v>74</v>
      </c>
      <c r="AR638" s="1" t="s">
        <v>74</v>
      </c>
      <c r="AS638" s="1" t="s">
        <v>74</v>
      </c>
      <c r="AT638" s="1" t="s">
        <v>447</v>
      </c>
      <c r="AU638" s="1">
        <v>2020.0</v>
      </c>
      <c r="AV638" s="1">
        <v>34.0</v>
      </c>
      <c r="AW638" s="1">
        <v>8.0</v>
      </c>
      <c r="AX638" s="1" t="s">
        <v>74</v>
      </c>
      <c r="AY638" s="1" t="s">
        <v>74</v>
      </c>
      <c r="AZ638" s="1" t="s">
        <v>74</v>
      </c>
      <c r="BA638" s="1" t="s">
        <v>74</v>
      </c>
      <c r="BB638" s="1">
        <v>2178.0</v>
      </c>
      <c r="BC638" s="1">
        <v>2188.0</v>
      </c>
      <c r="BD638" s="1" t="s">
        <v>74</v>
      </c>
      <c r="BE638" s="1" t="s">
        <v>6517</v>
      </c>
      <c r="BF638" s="2" t="str">
        <f>HYPERLINK("http://dx.doi.org/10.1519/JSC.0000000000003533","http://dx.doi.org/10.1519/JSC.0000000000003533")</f>
        <v>http://dx.doi.org/10.1519/JSC.0000000000003533</v>
      </c>
      <c r="BG638" s="1" t="s">
        <v>74</v>
      </c>
      <c r="BH638" s="1" t="s">
        <v>74</v>
      </c>
      <c r="BI638" s="1" t="s">
        <v>74</v>
      </c>
      <c r="BJ638" s="1" t="s">
        <v>74</v>
      </c>
      <c r="BK638" s="1" t="s">
        <v>74</v>
      </c>
      <c r="BL638" s="1" t="s">
        <v>74</v>
      </c>
      <c r="BM638" s="1" t="s">
        <v>74</v>
      </c>
      <c r="BN638" s="1">
        <v>3.218715E7</v>
      </c>
      <c r="BO638" s="1" t="s">
        <v>74</v>
      </c>
      <c r="BP638" s="1" t="s">
        <v>74</v>
      </c>
      <c r="BQ638" s="1" t="s">
        <v>74</v>
      </c>
      <c r="BR638" s="1" t="s">
        <v>74</v>
      </c>
      <c r="BS638" s="1" t="s">
        <v>6518</v>
      </c>
      <c r="BT638" s="1" t="str">
        <f>HYPERLINK("https%3A%2F%2Fwww.webofscience.com%2Fwos%2Fwoscc%2Ffull-record%2FWOS:000559344800010","View Full Record in Web of Science")</f>
        <v>View Full Record in Web of Science</v>
      </c>
    </row>
    <row r="639" ht="12.75" customHeight="1">
      <c r="A639" s="1" t="s">
        <v>72</v>
      </c>
      <c r="B639" s="1" t="s">
        <v>6519</v>
      </c>
      <c r="C639" s="1" t="s">
        <v>74</v>
      </c>
      <c r="D639" s="1" t="s">
        <v>74</v>
      </c>
      <c r="E639" s="1" t="s">
        <v>74</v>
      </c>
      <c r="F639" s="1" t="s">
        <v>6520</v>
      </c>
      <c r="G639" s="1" t="s">
        <v>74</v>
      </c>
      <c r="H639" s="1" t="s">
        <v>74</v>
      </c>
      <c r="I639" s="1" t="s">
        <v>6521</v>
      </c>
      <c r="J639" s="1" t="s">
        <v>6522</v>
      </c>
      <c r="K639" s="1" t="s">
        <v>74</v>
      </c>
      <c r="L639" s="1" t="s">
        <v>74</v>
      </c>
      <c r="M639" s="1" t="s">
        <v>74</v>
      </c>
      <c r="N639" s="1" t="s">
        <v>74</v>
      </c>
      <c r="O639" s="1" t="s">
        <v>74</v>
      </c>
      <c r="P639" s="1" t="s">
        <v>74</v>
      </c>
      <c r="Q639" s="1" t="s">
        <v>74</v>
      </c>
      <c r="R639" s="1" t="s">
        <v>74</v>
      </c>
      <c r="S639" s="1" t="s">
        <v>74</v>
      </c>
      <c r="T639" s="1" t="s">
        <v>74</v>
      </c>
      <c r="U639" s="1" t="s">
        <v>74</v>
      </c>
      <c r="V639" s="1" t="s">
        <v>6523</v>
      </c>
      <c r="W639" s="1" t="s">
        <v>74</v>
      </c>
      <c r="X639" s="1" t="s">
        <v>74</v>
      </c>
      <c r="Y639" s="1" t="s">
        <v>74</v>
      </c>
      <c r="Z639" s="1" t="s">
        <v>74</v>
      </c>
      <c r="AA639" s="1" t="s">
        <v>6524</v>
      </c>
      <c r="AB639" s="1" t="s">
        <v>6525</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6526</v>
      </c>
      <c r="AP639" s="1" t="s">
        <v>74</v>
      </c>
      <c r="AQ639" s="1" t="s">
        <v>74</v>
      </c>
      <c r="AR639" s="1" t="s">
        <v>74</v>
      </c>
      <c r="AS639" s="1" t="s">
        <v>74</v>
      </c>
      <c r="AT639" s="1" t="s">
        <v>74</v>
      </c>
      <c r="AU639" s="1">
        <v>2016.0</v>
      </c>
      <c r="AV639" s="1">
        <v>7.0</v>
      </c>
      <c r="AW639" s="1" t="s">
        <v>74</v>
      </c>
      <c r="AX639" s="1" t="s">
        <v>74</v>
      </c>
      <c r="AY639" s="1" t="s">
        <v>74</v>
      </c>
      <c r="AZ639" s="1" t="s">
        <v>74</v>
      </c>
      <c r="BA639" s="1" t="s">
        <v>74</v>
      </c>
      <c r="BB639" s="1" t="s">
        <v>74</v>
      </c>
      <c r="BC639" s="1" t="s">
        <v>74</v>
      </c>
      <c r="BD639" s="1">
        <v>4101205.0</v>
      </c>
      <c r="BE639" s="1" t="s">
        <v>6527</v>
      </c>
      <c r="BF639" s="2" t="str">
        <f>HYPERLINK("http://dx.doi.org/10.1109/LMAG.2015.2512530","http://dx.doi.org/10.1109/LMAG.2015.2512530")</f>
        <v>http://dx.doi.org/10.1109/LMAG.2015.2512530</v>
      </c>
      <c r="BG639" s="1" t="s">
        <v>74</v>
      </c>
      <c r="BH639" s="1" t="s">
        <v>74</v>
      </c>
      <c r="BI639" s="1" t="s">
        <v>74</v>
      </c>
      <c r="BJ639" s="1" t="s">
        <v>74</v>
      </c>
      <c r="BK639" s="1" t="s">
        <v>74</v>
      </c>
      <c r="BL639" s="1" t="s">
        <v>74</v>
      </c>
      <c r="BM639" s="1" t="s">
        <v>74</v>
      </c>
      <c r="BN639" s="1" t="s">
        <v>74</v>
      </c>
      <c r="BO639" s="1" t="s">
        <v>74</v>
      </c>
      <c r="BP639" s="1" t="s">
        <v>74</v>
      </c>
      <c r="BQ639" s="1" t="s">
        <v>74</v>
      </c>
      <c r="BR639" s="1" t="s">
        <v>74</v>
      </c>
      <c r="BS639" s="1" t="s">
        <v>6528</v>
      </c>
      <c r="BT639" s="1" t="str">
        <f>HYPERLINK("https%3A%2F%2Fwww.webofscience.com%2Fwos%2Fwoscc%2Ffull-record%2FWOS:000373054700001","View Full Record in Web of Science")</f>
        <v>View Full Record in Web of Science</v>
      </c>
    </row>
    <row r="640" ht="12.75" customHeight="1">
      <c r="A640" s="1" t="s">
        <v>72</v>
      </c>
      <c r="B640" s="1" t="s">
        <v>6529</v>
      </c>
      <c r="C640" s="1" t="s">
        <v>74</v>
      </c>
      <c r="D640" s="1" t="s">
        <v>74</v>
      </c>
      <c r="E640" s="1" t="s">
        <v>74</v>
      </c>
      <c r="F640" s="1" t="s">
        <v>6530</v>
      </c>
      <c r="G640" s="1" t="s">
        <v>74</v>
      </c>
      <c r="H640" s="1" t="s">
        <v>74</v>
      </c>
      <c r="I640" s="1" t="s">
        <v>6531</v>
      </c>
      <c r="J640" s="1" t="s">
        <v>6532</v>
      </c>
      <c r="K640" s="1" t="s">
        <v>74</v>
      </c>
      <c r="L640" s="1" t="s">
        <v>74</v>
      </c>
      <c r="M640" s="1" t="s">
        <v>74</v>
      </c>
      <c r="N640" s="1" t="s">
        <v>74</v>
      </c>
      <c r="O640" s="1" t="s">
        <v>74</v>
      </c>
      <c r="P640" s="1" t="s">
        <v>74</v>
      </c>
      <c r="Q640" s="1" t="s">
        <v>74</v>
      </c>
      <c r="R640" s="1" t="s">
        <v>74</v>
      </c>
      <c r="S640" s="1" t="s">
        <v>74</v>
      </c>
      <c r="T640" s="1" t="s">
        <v>74</v>
      </c>
      <c r="U640" s="1" t="s">
        <v>74</v>
      </c>
      <c r="V640" s="1" t="s">
        <v>74</v>
      </c>
      <c r="W640" s="1" t="s">
        <v>74</v>
      </c>
      <c r="X640" s="1" t="s">
        <v>74</v>
      </c>
      <c r="Y640" s="1" t="s">
        <v>74</v>
      </c>
      <c r="Z640" s="1" t="s">
        <v>74</v>
      </c>
      <c r="AA640" s="1" t="s">
        <v>74</v>
      </c>
      <c r="AB640" s="1" t="s">
        <v>74</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6533</v>
      </c>
      <c r="AP640" s="1" t="s">
        <v>6534</v>
      </c>
      <c r="AQ640" s="1" t="s">
        <v>74</v>
      </c>
      <c r="AR640" s="1" t="s">
        <v>74</v>
      </c>
      <c r="AS640" s="1" t="s">
        <v>74</v>
      </c>
      <c r="AT640" s="1" t="s">
        <v>202</v>
      </c>
      <c r="AU640" s="1">
        <v>2024.0</v>
      </c>
      <c r="AV640" s="1">
        <v>25.0</v>
      </c>
      <c r="AW640" s="1">
        <v>41.0</v>
      </c>
      <c r="AX640" s="1" t="s">
        <v>74</v>
      </c>
      <c r="AY640" s="1" t="s">
        <v>74</v>
      </c>
      <c r="AZ640" s="1" t="s">
        <v>74</v>
      </c>
      <c r="BA640" s="1" t="s">
        <v>74</v>
      </c>
      <c r="BB640" s="1">
        <v>443.0</v>
      </c>
      <c r="BC640" s="1">
        <v>453.0</v>
      </c>
      <c r="BD640" s="1" t="s">
        <v>74</v>
      </c>
      <c r="BE640" s="1" t="s">
        <v>74</v>
      </c>
      <c r="BF640" s="1" t="s">
        <v>74</v>
      </c>
      <c r="BG640" s="1" t="s">
        <v>74</v>
      </c>
      <c r="BH640" s="1" t="s">
        <v>74</v>
      </c>
      <c r="BI640" s="1" t="s">
        <v>74</v>
      </c>
      <c r="BJ640" s="1" t="s">
        <v>74</v>
      </c>
      <c r="BK640" s="1" t="s">
        <v>74</v>
      </c>
      <c r="BL640" s="1" t="s">
        <v>74</v>
      </c>
      <c r="BM640" s="1" t="s">
        <v>74</v>
      </c>
      <c r="BN640" s="1" t="s">
        <v>74</v>
      </c>
      <c r="BO640" s="1" t="s">
        <v>74</v>
      </c>
      <c r="BP640" s="1" t="s">
        <v>74</v>
      </c>
      <c r="BQ640" s="1" t="s">
        <v>74</v>
      </c>
      <c r="BR640" s="1" t="s">
        <v>74</v>
      </c>
      <c r="BS640" s="1" t="s">
        <v>6535</v>
      </c>
      <c r="BT640" s="1" t="str">
        <f>HYPERLINK("https%3A%2F%2Fwww.webofscience.com%2Fwos%2Fwoscc%2Ffull-record%2FWOS:001248161100031","View Full Record in Web of Science")</f>
        <v>View Full Record in Web of Science</v>
      </c>
    </row>
    <row r="641" ht="12.75" customHeight="1">
      <c r="A641" s="1" t="s">
        <v>72</v>
      </c>
      <c r="B641" s="1" t="s">
        <v>6536</v>
      </c>
      <c r="C641" s="1" t="s">
        <v>74</v>
      </c>
      <c r="D641" s="1" t="s">
        <v>74</v>
      </c>
      <c r="E641" s="1" t="s">
        <v>74</v>
      </c>
      <c r="F641" s="1" t="s">
        <v>6537</v>
      </c>
      <c r="G641" s="1" t="s">
        <v>74</v>
      </c>
      <c r="H641" s="1" t="s">
        <v>74</v>
      </c>
      <c r="I641" s="1" t="s">
        <v>6538</v>
      </c>
      <c r="J641" s="1" t="s">
        <v>1716</v>
      </c>
      <c r="K641" s="1" t="s">
        <v>74</v>
      </c>
      <c r="L641" s="1" t="s">
        <v>74</v>
      </c>
      <c r="M641" s="1" t="s">
        <v>74</v>
      </c>
      <c r="N641" s="1" t="s">
        <v>74</v>
      </c>
      <c r="O641" s="1" t="s">
        <v>74</v>
      </c>
      <c r="P641" s="1" t="s">
        <v>74</v>
      </c>
      <c r="Q641" s="1" t="s">
        <v>74</v>
      </c>
      <c r="R641" s="1" t="s">
        <v>74</v>
      </c>
      <c r="S641" s="1" t="s">
        <v>74</v>
      </c>
      <c r="T641" s="1" t="s">
        <v>74</v>
      </c>
      <c r="U641" s="1" t="s">
        <v>74</v>
      </c>
      <c r="V641" s="1" t="s">
        <v>6539</v>
      </c>
      <c r="W641" s="1" t="s">
        <v>74</v>
      </c>
      <c r="X641" s="1" t="s">
        <v>74</v>
      </c>
      <c r="Y641" s="1" t="s">
        <v>74</v>
      </c>
      <c r="Z641" s="1" t="s">
        <v>74</v>
      </c>
      <c r="AA641" s="1" t="s">
        <v>6540</v>
      </c>
      <c r="AB641" s="1" t="s">
        <v>6541</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1719</v>
      </c>
      <c r="AP641" s="1" t="s">
        <v>1720</v>
      </c>
      <c r="AQ641" s="1" t="s">
        <v>74</v>
      </c>
      <c r="AR641" s="1" t="s">
        <v>74</v>
      </c>
      <c r="AS641" s="1" t="s">
        <v>74</v>
      </c>
      <c r="AT641" s="1" t="s">
        <v>106</v>
      </c>
      <c r="AU641" s="1">
        <v>2020.0</v>
      </c>
      <c r="AV641" s="1">
        <v>132.0</v>
      </c>
      <c r="AW641" s="1" t="s">
        <v>74</v>
      </c>
      <c r="AX641" s="1" t="s">
        <v>74</v>
      </c>
      <c r="AY641" s="1" t="s">
        <v>74</v>
      </c>
      <c r="AZ641" s="1" t="s">
        <v>74</v>
      </c>
      <c r="BA641" s="1" t="s">
        <v>74</v>
      </c>
      <c r="BB641" s="1">
        <v>460.0</v>
      </c>
      <c r="BC641" s="1">
        <v>472.0</v>
      </c>
      <c r="BD641" s="1" t="s">
        <v>74</v>
      </c>
      <c r="BE641" s="1" t="s">
        <v>6542</v>
      </c>
      <c r="BF641" s="2" t="str">
        <f>HYPERLINK("http://dx.doi.org/10.1016/j.cortex.2020.08.005","http://dx.doi.org/10.1016/j.cortex.2020.08.005")</f>
        <v>http://dx.doi.org/10.1016/j.cortex.2020.08.005</v>
      </c>
      <c r="BG641" s="1" t="s">
        <v>74</v>
      </c>
      <c r="BH641" s="1" t="s">
        <v>74</v>
      </c>
      <c r="BI641" s="1" t="s">
        <v>74</v>
      </c>
      <c r="BJ641" s="1" t="s">
        <v>74</v>
      </c>
      <c r="BK641" s="1" t="s">
        <v>74</v>
      </c>
      <c r="BL641" s="1" t="s">
        <v>74</v>
      </c>
      <c r="BM641" s="1" t="s">
        <v>74</v>
      </c>
      <c r="BN641" s="1">
        <v>3.2950239E7</v>
      </c>
      <c r="BO641" s="1" t="s">
        <v>74</v>
      </c>
      <c r="BP641" s="1" t="s">
        <v>74</v>
      </c>
      <c r="BQ641" s="1" t="s">
        <v>74</v>
      </c>
      <c r="BR641" s="1" t="s">
        <v>74</v>
      </c>
      <c r="BS641" s="1" t="s">
        <v>6543</v>
      </c>
      <c r="BT641" s="1" t="str">
        <f>HYPERLINK("https%3A%2F%2Fwww.webofscience.com%2Fwos%2Fwoscc%2Ffull-record%2FWOS:000588059000033","View Full Record in Web of Science")</f>
        <v>View Full Record in Web of Science</v>
      </c>
    </row>
    <row r="642" ht="12.75" customHeight="1">
      <c r="A642" s="1" t="s">
        <v>72</v>
      </c>
      <c r="B642" s="1" t="s">
        <v>6544</v>
      </c>
      <c r="C642" s="1" t="s">
        <v>74</v>
      </c>
      <c r="D642" s="1" t="s">
        <v>74</v>
      </c>
      <c r="E642" s="1" t="s">
        <v>74</v>
      </c>
      <c r="F642" s="1" t="s">
        <v>6545</v>
      </c>
      <c r="G642" s="1" t="s">
        <v>74</v>
      </c>
      <c r="H642" s="1" t="s">
        <v>74</v>
      </c>
      <c r="I642" s="1" t="s">
        <v>6546</v>
      </c>
      <c r="J642" s="1" t="s">
        <v>6547</v>
      </c>
      <c r="K642" s="1" t="s">
        <v>74</v>
      </c>
      <c r="L642" s="1" t="s">
        <v>74</v>
      </c>
      <c r="M642" s="1" t="s">
        <v>74</v>
      </c>
      <c r="N642" s="1" t="s">
        <v>74</v>
      </c>
      <c r="O642" s="1" t="s">
        <v>74</v>
      </c>
      <c r="P642" s="1" t="s">
        <v>74</v>
      </c>
      <c r="Q642" s="1" t="s">
        <v>74</v>
      </c>
      <c r="R642" s="1" t="s">
        <v>74</v>
      </c>
      <c r="S642" s="1" t="s">
        <v>74</v>
      </c>
      <c r="T642" s="1" t="s">
        <v>74</v>
      </c>
      <c r="U642" s="1" t="s">
        <v>74</v>
      </c>
      <c r="V642" s="1" t="s">
        <v>6548</v>
      </c>
      <c r="W642" s="1" t="s">
        <v>74</v>
      </c>
      <c r="X642" s="1" t="s">
        <v>74</v>
      </c>
      <c r="Y642" s="1" t="s">
        <v>74</v>
      </c>
      <c r="Z642" s="1" t="s">
        <v>74</v>
      </c>
      <c r="AA642" s="1" t="s">
        <v>6549</v>
      </c>
      <c r="AB642" s="1" t="s">
        <v>6550</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6551</v>
      </c>
      <c r="AP642" s="1" t="s">
        <v>6552</v>
      </c>
      <c r="AQ642" s="1" t="s">
        <v>74</v>
      </c>
      <c r="AR642" s="1" t="s">
        <v>74</v>
      </c>
      <c r="AS642" s="1" t="s">
        <v>74</v>
      </c>
      <c r="AT642" s="1" t="s">
        <v>118</v>
      </c>
      <c r="AU642" s="1">
        <v>2018.0</v>
      </c>
      <c r="AV642" s="1">
        <v>194.0</v>
      </c>
      <c r="AW642" s="1" t="s">
        <v>74</v>
      </c>
      <c r="AX642" s="1" t="s">
        <v>74</v>
      </c>
      <c r="AY642" s="1" t="s">
        <v>74</v>
      </c>
      <c r="AZ642" s="1" t="s">
        <v>74</v>
      </c>
      <c r="BA642" s="1" t="s">
        <v>74</v>
      </c>
      <c r="BB642" s="1">
        <v>401.0</v>
      </c>
      <c r="BC642" s="1">
        <v>409.0</v>
      </c>
      <c r="BD642" s="1" t="s">
        <v>74</v>
      </c>
      <c r="BE642" s="1" t="s">
        <v>6553</v>
      </c>
      <c r="BF642" s="2" t="str">
        <f>HYPERLINK("http://dx.doi.org/10.1016/j.physbeh.2018.06.034","http://dx.doi.org/10.1016/j.physbeh.2018.06.034")</f>
        <v>http://dx.doi.org/10.1016/j.physbeh.2018.06.034</v>
      </c>
      <c r="BG642" s="1" t="s">
        <v>74</v>
      </c>
      <c r="BH642" s="1" t="s">
        <v>74</v>
      </c>
      <c r="BI642" s="1" t="s">
        <v>74</v>
      </c>
      <c r="BJ642" s="1" t="s">
        <v>74</v>
      </c>
      <c r="BK642" s="1" t="s">
        <v>74</v>
      </c>
      <c r="BL642" s="1" t="s">
        <v>74</v>
      </c>
      <c r="BM642" s="1" t="s">
        <v>74</v>
      </c>
      <c r="BN642" s="1">
        <v>2.9940266E7</v>
      </c>
      <c r="BO642" s="1" t="s">
        <v>74</v>
      </c>
      <c r="BP642" s="1" t="s">
        <v>74</v>
      </c>
      <c r="BQ642" s="1" t="s">
        <v>74</v>
      </c>
      <c r="BR642" s="1" t="s">
        <v>74</v>
      </c>
      <c r="BS642" s="1" t="s">
        <v>6554</v>
      </c>
      <c r="BT642" s="1" t="str">
        <f>HYPERLINK("https%3A%2F%2Fwww.webofscience.com%2Fwos%2Fwoscc%2Ffull-record%2FWOS:000442704900051","View Full Record in Web of Science")</f>
        <v>View Full Record in Web of Science</v>
      </c>
    </row>
    <row r="643" ht="12.75" customHeight="1">
      <c r="A643" s="1" t="s">
        <v>72</v>
      </c>
      <c r="B643" s="1" t="s">
        <v>6555</v>
      </c>
      <c r="C643" s="1" t="s">
        <v>74</v>
      </c>
      <c r="D643" s="1" t="s">
        <v>74</v>
      </c>
      <c r="E643" s="1" t="s">
        <v>74</v>
      </c>
      <c r="F643" s="1" t="s">
        <v>6556</v>
      </c>
      <c r="G643" s="1" t="s">
        <v>74</v>
      </c>
      <c r="H643" s="1" t="s">
        <v>74</v>
      </c>
      <c r="I643" s="1" t="s">
        <v>6557</v>
      </c>
      <c r="J643" s="1" t="s">
        <v>6558</v>
      </c>
      <c r="K643" s="1" t="s">
        <v>74</v>
      </c>
      <c r="L643" s="1" t="s">
        <v>74</v>
      </c>
      <c r="M643" s="1" t="s">
        <v>74</v>
      </c>
      <c r="N643" s="1" t="s">
        <v>74</v>
      </c>
      <c r="O643" s="1" t="s">
        <v>74</v>
      </c>
      <c r="P643" s="1" t="s">
        <v>74</v>
      </c>
      <c r="Q643" s="1" t="s">
        <v>74</v>
      </c>
      <c r="R643" s="1" t="s">
        <v>74</v>
      </c>
      <c r="S643" s="1" t="s">
        <v>74</v>
      </c>
      <c r="T643" s="1" t="s">
        <v>74</v>
      </c>
      <c r="U643" s="1" t="s">
        <v>74</v>
      </c>
      <c r="V643" s="1" t="s">
        <v>6559</v>
      </c>
      <c r="W643" s="1" t="s">
        <v>74</v>
      </c>
      <c r="X643" s="1" t="s">
        <v>74</v>
      </c>
      <c r="Y643" s="1" t="s">
        <v>74</v>
      </c>
      <c r="Z643" s="1" t="s">
        <v>74</v>
      </c>
      <c r="AA643" s="1" t="s">
        <v>6560</v>
      </c>
      <c r="AB643" s="1" t="s">
        <v>6561</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6562</v>
      </c>
      <c r="AP643" s="1" t="s">
        <v>6563</v>
      </c>
      <c r="AQ643" s="1" t="s">
        <v>74</v>
      </c>
      <c r="AR643" s="1" t="s">
        <v>74</v>
      </c>
      <c r="AS643" s="1" t="s">
        <v>74</v>
      </c>
      <c r="AT643" s="1" t="s">
        <v>392</v>
      </c>
      <c r="AU643" s="1">
        <v>2017.0</v>
      </c>
      <c r="AV643" s="1">
        <v>13.0</v>
      </c>
      <c r="AW643" s="1">
        <v>3.0</v>
      </c>
      <c r="AX643" s="1" t="s">
        <v>74</v>
      </c>
      <c r="AY643" s="1" t="s">
        <v>74</v>
      </c>
      <c r="AZ643" s="1" t="s">
        <v>74</v>
      </c>
      <c r="BA643" s="1" t="s">
        <v>74</v>
      </c>
      <c r="BB643" s="1">
        <v>1089.0</v>
      </c>
      <c r="BC643" s="1">
        <v>1094.0</v>
      </c>
      <c r="BD643" s="1" t="s">
        <v>74</v>
      </c>
      <c r="BE643" s="1" t="s">
        <v>6564</v>
      </c>
      <c r="BF643" s="2" t="str">
        <f>HYPERLINK("http://dx.doi.org/10.1016/j.nano.2016.10.010","http://dx.doi.org/10.1016/j.nano.2016.10.010")</f>
        <v>http://dx.doi.org/10.1016/j.nano.2016.10.010</v>
      </c>
      <c r="BG643" s="1" t="s">
        <v>74</v>
      </c>
      <c r="BH643" s="1" t="s">
        <v>74</v>
      </c>
      <c r="BI643" s="1" t="s">
        <v>74</v>
      </c>
      <c r="BJ643" s="1" t="s">
        <v>74</v>
      </c>
      <c r="BK643" s="1" t="s">
        <v>74</v>
      </c>
      <c r="BL643" s="1" t="s">
        <v>74</v>
      </c>
      <c r="BM643" s="1" t="s">
        <v>74</v>
      </c>
      <c r="BN643" s="1">
        <v>2.7789259E7</v>
      </c>
      <c r="BO643" s="1" t="s">
        <v>74</v>
      </c>
      <c r="BP643" s="1" t="s">
        <v>74</v>
      </c>
      <c r="BQ643" s="1" t="s">
        <v>74</v>
      </c>
      <c r="BR643" s="1" t="s">
        <v>74</v>
      </c>
      <c r="BS643" s="1" t="s">
        <v>6565</v>
      </c>
      <c r="BT643" s="1" t="str">
        <f>HYPERLINK("https%3A%2F%2Fwww.webofscience.com%2Fwos%2Fwoscc%2Ffull-record%2FWOS:000401089100030","View Full Record in Web of Science")</f>
        <v>View Full Record in Web of Science</v>
      </c>
    </row>
    <row r="644" ht="12.75" customHeight="1">
      <c r="A644" s="1" t="s">
        <v>72</v>
      </c>
      <c r="B644" s="1" t="s">
        <v>6566</v>
      </c>
      <c r="C644" s="1" t="s">
        <v>74</v>
      </c>
      <c r="D644" s="1" t="s">
        <v>74</v>
      </c>
      <c r="E644" s="1" t="s">
        <v>74</v>
      </c>
      <c r="F644" s="1" t="s">
        <v>6567</v>
      </c>
      <c r="G644" s="1" t="s">
        <v>74</v>
      </c>
      <c r="H644" s="1" t="s">
        <v>74</v>
      </c>
      <c r="I644" s="1" t="s">
        <v>6568</v>
      </c>
      <c r="J644" s="1" t="s">
        <v>1226</v>
      </c>
      <c r="K644" s="1" t="s">
        <v>74</v>
      </c>
      <c r="L644" s="1" t="s">
        <v>74</v>
      </c>
      <c r="M644" s="1" t="s">
        <v>74</v>
      </c>
      <c r="N644" s="1" t="s">
        <v>74</v>
      </c>
      <c r="O644" s="1" t="s">
        <v>74</v>
      </c>
      <c r="P644" s="1" t="s">
        <v>74</v>
      </c>
      <c r="Q644" s="1" t="s">
        <v>74</v>
      </c>
      <c r="R644" s="1" t="s">
        <v>74</v>
      </c>
      <c r="S644" s="1" t="s">
        <v>74</v>
      </c>
      <c r="T644" s="1" t="s">
        <v>74</v>
      </c>
      <c r="U644" s="1" t="s">
        <v>74</v>
      </c>
      <c r="V644" s="1" t="s">
        <v>6569</v>
      </c>
      <c r="W644" s="1" t="s">
        <v>74</v>
      </c>
      <c r="X644" s="1" t="s">
        <v>74</v>
      </c>
      <c r="Y644" s="1" t="s">
        <v>74</v>
      </c>
      <c r="Z644" s="1" t="s">
        <v>74</v>
      </c>
      <c r="AA644" s="1" t="s">
        <v>6570</v>
      </c>
      <c r="AB644" s="1" t="s">
        <v>6571</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1228</v>
      </c>
      <c r="AP644" s="1" t="s">
        <v>1229</v>
      </c>
      <c r="AQ644" s="1" t="s">
        <v>74</v>
      </c>
      <c r="AR644" s="1" t="s">
        <v>74</v>
      </c>
      <c r="AS644" s="1" t="s">
        <v>74</v>
      </c>
      <c r="AT644" s="1" t="s">
        <v>6572</v>
      </c>
      <c r="AU644" s="1">
        <v>2024.0</v>
      </c>
      <c r="AV644" s="1">
        <v>687.0</v>
      </c>
      <c r="AW644" s="1" t="s">
        <v>74</v>
      </c>
      <c r="AX644" s="1" t="s">
        <v>74</v>
      </c>
      <c r="AY644" s="1" t="s">
        <v>74</v>
      </c>
      <c r="AZ644" s="1" t="s">
        <v>74</v>
      </c>
      <c r="BA644" s="1" t="s">
        <v>74</v>
      </c>
      <c r="BB644" s="1" t="s">
        <v>74</v>
      </c>
      <c r="BC644" s="1" t="s">
        <v>74</v>
      </c>
      <c r="BD644" s="1" t="s">
        <v>6573</v>
      </c>
      <c r="BE644" s="1" t="s">
        <v>6574</v>
      </c>
      <c r="BF644" s="2" t="str">
        <f>HYPERLINK("http://dx.doi.org/10.1051/0004-6361/202450418","http://dx.doi.org/10.1051/0004-6361/202450418")</f>
        <v>http://dx.doi.org/10.1051/0004-6361/202450418</v>
      </c>
      <c r="BG644" s="1" t="s">
        <v>74</v>
      </c>
      <c r="BH644" s="1" t="s">
        <v>74</v>
      </c>
      <c r="BI644" s="1" t="s">
        <v>74</v>
      </c>
      <c r="BJ644" s="1" t="s">
        <v>74</v>
      </c>
      <c r="BK644" s="1" t="s">
        <v>74</v>
      </c>
      <c r="BL644" s="1" t="s">
        <v>74</v>
      </c>
      <c r="BM644" s="1" t="s">
        <v>74</v>
      </c>
      <c r="BN644" s="1" t="s">
        <v>74</v>
      </c>
      <c r="BO644" s="1" t="s">
        <v>74</v>
      </c>
      <c r="BP644" s="1" t="s">
        <v>74</v>
      </c>
      <c r="BQ644" s="1" t="s">
        <v>74</v>
      </c>
      <c r="BR644" s="1" t="s">
        <v>74</v>
      </c>
      <c r="BS644" s="1" t="s">
        <v>6575</v>
      </c>
      <c r="BT644" s="1" t="str">
        <f>HYPERLINK("https%3A%2F%2Fwww.webofscience.com%2Fwos%2Fwoscc%2Ffull-record%2FWOS:001272538400001","View Full Record in Web of Science")</f>
        <v>View Full Record in Web of Science</v>
      </c>
    </row>
    <row r="645" ht="12.75" customHeight="1">
      <c r="A645" s="1" t="s">
        <v>72</v>
      </c>
      <c r="B645" s="1" t="s">
        <v>6576</v>
      </c>
      <c r="C645" s="1" t="s">
        <v>74</v>
      </c>
      <c r="D645" s="1" t="s">
        <v>74</v>
      </c>
      <c r="E645" s="1" t="s">
        <v>74</v>
      </c>
      <c r="F645" s="1" t="s">
        <v>6577</v>
      </c>
      <c r="G645" s="1" t="s">
        <v>74</v>
      </c>
      <c r="H645" s="1" t="s">
        <v>74</v>
      </c>
      <c r="I645" s="1" t="s">
        <v>6578</v>
      </c>
      <c r="J645" s="1" t="s">
        <v>6579</v>
      </c>
      <c r="K645" s="1" t="s">
        <v>74</v>
      </c>
      <c r="L645" s="1" t="s">
        <v>74</v>
      </c>
      <c r="M645" s="1" t="s">
        <v>74</v>
      </c>
      <c r="N645" s="1" t="s">
        <v>74</v>
      </c>
      <c r="O645" s="1" t="s">
        <v>74</v>
      </c>
      <c r="P645" s="1" t="s">
        <v>74</v>
      </c>
      <c r="Q645" s="1" t="s">
        <v>74</v>
      </c>
      <c r="R645" s="1" t="s">
        <v>74</v>
      </c>
      <c r="S645" s="1" t="s">
        <v>74</v>
      </c>
      <c r="T645" s="1" t="s">
        <v>74</v>
      </c>
      <c r="U645" s="1" t="s">
        <v>74</v>
      </c>
      <c r="V645" s="1" t="s">
        <v>6580</v>
      </c>
      <c r="W645" s="1" t="s">
        <v>74</v>
      </c>
      <c r="X645" s="1" t="s">
        <v>74</v>
      </c>
      <c r="Y645" s="1" t="s">
        <v>74</v>
      </c>
      <c r="Z645" s="1" t="s">
        <v>74</v>
      </c>
      <c r="AA645" s="1" t="s">
        <v>6581</v>
      </c>
      <c r="AB645" s="1" t="s">
        <v>6582</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6583</v>
      </c>
      <c r="AP645" s="1" t="s">
        <v>6584</v>
      </c>
      <c r="AQ645" s="1" t="s">
        <v>74</v>
      </c>
      <c r="AR645" s="1" t="s">
        <v>74</v>
      </c>
      <c r="AS645" s="1" t="s">
        <v>74</v>
      </c>
      <c r="AT645" s="1" t="s">
        <v>74</v>
      </c>
      <c r="AU645" s="1">
        <v>2021.0</v>
      </c>
      <c r="AV645" s="1">
        <v>82.0</v>
      </c>
      <c r="AW645" s="1" t="s">
        <v>74</v>
      </c>
      <c r="AX645" s="1" t="s">
        <v>74</v>
      </c>
      <c r="AY645" s="1">
        <v>1.0</v>
      </c>
      <c r="AZ645" s="1" t="s">
        <v>448</v>
      </c>
      <c r="BA645" s="1" t="s">
        <v>74</v>
      </c>
      <c r="BB645" s="1" t="s">
        <v>6585</v>
      </c>
      <c r="BC645" s="1" t="s">
        <v>6586</v>
      </c>
      <c r="BD645" s="1" t="s">
        <v>74</v>
      </c>
      <c r="BE645" s="1" t="s">
        <v>6587</v>
      </c>
      <c r="BF645" s="2" t="str">
        <f>HYPERLINK("http://dx.doi.org/10.3233/JAD-201195","http://dx.doi.org/10.3233/JAD-201195")</f>
        <v>http://dx.doi.org/10.3233/JAD-201195</v>
      </c>
      <c r="BG645" s="1" t="s">
        <v>74</v>
      </c>
      <c r="BH645" s="1" t="s">
        <v>74</v>
      </c>
      <c r="BI645" s="1" t="s">
        <v>74</v>
      </c>
      <c r="BJ645" s="1" t="s">
        <v>74</v>
      </c>
      <c r="BK645" s="1" t="s">
        <v>74</v>
      </c>
      <c r="BL645" s="1" t="s">
        <v>74</v>
      </c>
      <c r="BM645" s="1" t="s">
        <v>74</v>
      </c>
      <c r="BN645" s="1">
        <v>3.3749647E7</v>
      </c>
      <c r="BO645" s="1" t="s">
        <v>74</v>
      </c>
      <c r="BP645" s="1" t="s">
        <v>74</v>
      </c>
      <c r="BQ645" s="1" t="s">
        <v>74</v>
      </c>
      <c r="BR645" s="1" t="s">
        <v>74</v>
      </c>
      <c r="BS645" s="1" t="s">
        <v>6588</v>
      </c>
      <c r="BT645" s="1" t="str">
        <f>HYPERLINK("https%3A%2F%2Fwww.webofscience.com%2Fwos%2Fwoscc%2Ffull-record%2FWOS:000667480300002","View Full Record in Web of Science")</f>
        <v>View Full Record in Web of Science</v>
      </c>
    </row>
    <row r="646" ht="12.75" customHeight="1">
      <c r="A646" s="1" t="s">
        <v>72</v>
      </c>
      <c r="B646" s="1" t="s">
        <v>6589</v>
      </c>
      <c r="C646" s="1" t="s">
        <v>74</v>
      </c>
      <c r="D646" s="1" t="s">
        <v>74</v>
      </c>
      <c r="E646" s="1" t="s">
        <v>74</v>
      </c>
      <c r="F646" s="1" t="s">
        <v>6590</v>
      </c>
      <c r="G646" s="1" t="s">
        <v>74</v>
      </c>
      <c r="H646" s="1" t="s">
        <v>74</v>
      </c>
      <c r="I646" s="1" t="s">
        <v>6591</v>
      </c>
      <c r="J646" s="1" t="s">
        <v>6592</v>
      </c>
      <c r="K646" s="1" t="s">
        <v>74</v>
      </c>
      <c r="L646" s="1" t="s">
        <v>74</v>
      </c>
      <c r="M646" s="1" t="s">
        <v>74</v>
      </c>
      <c r="N646" s="1" t="s">
        <v>74</v>
      </c>
      <c r="O646" s="1" t="s">
        <v>74</v>
      </c>
      <c r="P646" s="1" t="s">
        <v>74</v>
      </c>
      <c r="Q646" s="1" t="s">
        <v>74</v>
      </c>
      <c r="R646" s="1" t="s">
        <v>74</v>
      </c>
      <c r="S646" s="1" t="s">
        <v>74</v>
      </c>
      <c r="T646" s="1" t="s">
        <v>74</v>
      </c>
      <c r="U646" s="1" t="s">
        <v>74</v>
      </c>
      <c r="V646" s="1" t="s">
        <v>6593</v>
      </c>
      <c r="W646" s="1" t="s">
        <v>74</v>
      </c>
      <c r="X646" s="1" t="s">
        <v>74</v>
      </c>
      <c r="Y646" s="1" t="s">
        <v>74</v>
      </c>
      <c r="Z646" s="1" t="s">
        <v>74</v>
      </c>
      <c r="AA646" s="1" t="s">
        <v>6594</v>
      </c>
      <c r="AB646" s="1" t="s">
        <v>74</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6595</v>
      </c>
      <c r="AP646" s="1" t="s">
        <v>6596</v>
      </c>
      <c r="AQ646" s="1" t="s">
        <v>74</v>
      </c>
      <c r="AR646" s="1" t="s">
        <v>74</v>
      </c>
      <c r="AS646" s="1" t="s">
        <v>74</v>
      </c>
      <c r="AT646" s="1" t="s">
        <v>202</v>
      </c>
      <c r="AU646" s="1">
        <v>2025.0</v>
      </c>
      <c r="AV646" s="1">
        <v>55.0</v>
      </c>
      <c r="AW646" s="1">
        <v>3.0</v>
      </c>
      <c r="AX646" s="1" t="s">
        <v>74</v>
      </c>
      <c r="AY646" s="1" t="s">
        <v>74</v>
      </c>
      <c r="AZ646" s="1" t="s">
        <v>74</v>
      </c>
      <c r="BA646" s="1" t="s">
        <v>74</v>
      </c>
      <c r="BB646" s="1" t="s">
        <v>74</v>
      </c>
      <c r="BC646" s="1" t="s">
        <v>74</v>
      </c>
      <c r="BD646" s="1">
        <v>130.0</v>
      </c>
      <c r="BE646" s="1" t="s">
        <v>6597</v>
      </c>
      <c r="BF646" s="2" t="str">
        <f>HYPERLINK("http://dx.doi.org/10.1007/s13538-025-01765-2","http://dx.doi.org/10.1007/s13538-025-01765-2")</f>
        <v>http://dx.doi.org/10.1007/s13538-025-01765-2</v>
      </c>
      <c r="BG646" s="1" t="s">
        <v>74</v>
      </c>
      <c r="BH646" s="1" t="s">
        <v>74</v>
      </c>
      <c r="BI646" s="1" t="s">
        <v>74</v>
      </c>
      <c r="BJ646" s="1" t="s">
        <v>74</v>
      </c>
      <c r="BK646" s="1" t="s">
        <v>74</v>
      </c>
      <c r="BL646" s="1" t="s">
        <v>74</v>
      </c>
      <c r="BM646" s="1" t="s">
        <v>74</v>
      </c>
      <c r="BN646" s="1" t="s">
        <v>74</v>
      </c>
      <c r="BO646" s="1" t="s">
        <v>74</v>
      </c>
      <c r="BP646" s="1" t="s">
        <v>74</v>
      </c>
      <c r="BQ646" s="1" t="s">
        <v>74</v>
      </c>
      <c r="BR646" s="1" t="s">
        <v>74</v>
      </c>
      <c r="BS646" s="1" t="s">
        <v>6598</v>
      </c>
      <c r="BT646" s="1" t="str">
        <f>HYPERLINK("https%3A%2F%2Fwww.webofscience.com%2Fwos%2Fwoscc%2Ffull-record%2FWOS:001465421800001","View Full Record in Web of Science")</f>
        <v>View Full Record in Web of Science</v>
      </c>
    </row>
    <row r="647" ht="12.75" customHeight="1">
      <c r="A647" s="1" t="s">
        <v>72</v>
      </c>
      <c r="B647" s="1" t="s">
        <v>6599</v>
      </c>
      <c r="C647" s="1" t="s">
        <v>74</v>
      </c>
      <c r="D647" s="1" t="s">
        <v>74</v>
      </c>
      <c r="E647" s="1" t="s">
        <v>74</v>
      </c>
      <c r="F647" s="1" t="s">
        <v>6600</v>
      </c>
      <c r="G647" s="1" t="s">
        <v>74</v>
      </c>
      <c r="H647" s="1" t="s">
        <v>74</v>
      </c>
      <c r="I647" s="1" t="s">
        <v>6601</v>
      </c>
      <c r="J647" s="1" t="s">
        <v>4240</v>
      </c>
      <c r="K647" s="1" t="s">
        <v>74</v>
      </c>
      <c r="L647" s="1" t="s">
        <v>74</v>
      </c>
      <c r="M647" s="1" t="s">
        <v>74</v>
      </c>
      <c r="N647" s="1" t="s">
        <v>74</v>
      </c>
      <c r="O647" s="1" t="s">
        <v>74</v>
      </c>
      <c r="P647" s="1" t="s">
        <v>74</v>
      </c>
      <c r="Q647" s="1" t="s">
        <v>74</v>
      </c>
      <c r="R647" s="1" t="s">
        <v>74</v>
      </c>
      <c r="S647" s="1" t="s">
        <v>74</v>
      </c>
      <c r="T647" s="1" t="s">
        <v>74</v>
      </c>
      <c r="U647" s="1" t="s">
        <v>74</v>
      </c>
      <c r="V647" s="1" t="s">
        <v>6602</v>
      </c>
      <c r="W647" s="1" t="s">
        <v>74</v>
      </c>
      <c r="X647" s="1" t="s">
        <v>74</v>
      </c>
      <c r="Y647" s="1" t="s">
        <v>74</v>
      </c>
      <c r="Z647" s="1" t="s">
        <v>74</v>
      </c>
      <c r="AA647" s="1" t="s">
        <v>6603</v>
      </c>
      <c r="AB647" s="1" t="s">
        <v>74</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4243</v>
      </c>
      <c r="AP647" s="1" t="s">
        <v>4244</v>
      </c>
      <c r="AQ647" s="1" t="s">
        <v>74</v>
      </c>
      <c r="AR647" s="1" t="s">
        <v>74</v>
      </c>
      <c r="AS647" s="1" t="s">
        <v>74</v>
      </c>
      <c r="AT647" s="1" t="s">
        <v>2104</v>
      </c>
      <c r="AU647" s="1">
        <v>2025.0</v>
      </c>
      <c r="AV647" s="1">
        <v>379.0</v>
      </c>
      <c r="AW647" s="1" t="s">
        <v>74</v>
      </c>
      <c r="AX647" s="1" t="s">
        <v>74</v>
      </c>
      <c r="AY647" s="1" t="s">
        <v>74</v>
      </c>
      <c r="AZ647" s="1" t="s">
        <v>74</v>
      </c>
      <c r="BA647" s="1" t="s">
        <v>74</v>
      </c>
      <c r="BB647" s="1">
        <v>624.0</v>
      </c>
      <c r="BC647" s="1">
        <v>630.0</v>
      </c>
      <c r="BD647" s="1" t="s">
        <v>74</v>
      </c>
      <c r="BE647" s="1" t="s">
        <v>6604</v>
      </c>
      <c r="BF647" s="2" t="str">
        <f>HYPERLINK("http://dx.doi.org/10.1016/j.jad.2025.03.012","http://dx.doi.org/10.1016/j.jad.2025.03.012")</f>
        <v>http://dx.doi.org/10.1016/j.jad.2025.03.012</v>
      </c>
      <c r="BG647" s="1" t="s">
        <v>74</v>
      </c>
      <c r="BH647" s="1" t="s">
        <v>4881</v>
      </c>
      <c r="BI647" s="1" t="s">
        <v>74</v>
      </c>
      <c r="BJ647" s="1" t="s">
        <v>74</v>
      </c>
      <c r="BK647" s="1" t="s">
        <v>74</v>
      </c>
      <c r="BL647" s="1" t="s">
        <v>74</v>
      </c>
      <c r="BM647" s="1" t="s">
        <v>74</v>
      </c>
      <c r="BN647" s="1">
        <v>4.0054532E7</v>
      </c>
      <c r="BO647" s="1" t="s">
        <v>74</v>
      </c>
      <c r="BP647" s="1" t="s">
        <v>74</v>
      </c>
      <c r="BQ647" s="1" t="s">
        <v>74</v>
      </c>
      <c r="BR647" s="1" t="s">
        <v>74</v>
      </c>
      <c r="BS647" s="1" t="s">
        <v>6605</v>
      </c>
      <c r="BT647" s="1" t="str">
        <f>HYPERLINK("https%3A%2F%2Fwww.webofscience.com%2Fwos%2Fwoscc%2Ffull-record%2FWOS:001450292600001","View Full Record in Web of Science")</f>
        <v>View Full Record in Web of Science</v>
      </c>
    </row>
    <row r="648" ht="12.75" customHeight="1">
      <c r="A648" s="1" t="s">
        <v>72</v>
      </c>
      <c r="B648" s="1" t="s">
        <v>6606</v>
      </c>
      <c r="C648" s="1" t="s">
        <v>74</v>
      </c>
      <c r="D648" s="1" t="s">
        <v>74</v>
      </c>
      <c r="E648" s="1" t="s">
        <v>74</v>
      </c>
      <c r="F648" s="1" t="s">
        <v>6607</v>
      </c>
      <c r="G648" s="1" t="s">
        <v>74</v>
      </c>
      <c r="H648" s="1" t="s">
        <v>74</v>
      </c>
      <c r="I648" s="1" t="s">
        <v>6608</v>
      </c>
      <c r="J648" s="1" t="s">
        <v>6609</v>
      </c>
      <c r="K648" s="1" t="s">
        <v>74</v>
      </c>
      <c r="L648" s="1" t="s">
        <v>74</v>
      </c>
      <c r="M648" s="1" t="s">
        <v>74</v>
      </c>
      <c r="N648" s="1" t="s">
        <v>74</v>
      </c>
      <c r="O648" s="1" t="s">
        <v>74</v>
      </c>
      <c r="P648" s="1" t="s">
        <v>74</v>
      </c>
      <c r="Q648" s="1" t="s">
        <v>74</v>
      </c>
      <c r="R648" s="1" t="s">
        <v>74</v>
      </c>
      <c r="S648" s="1" t="s">
        <v>74</v>
      </c>
      <c r="T648" s="1" t="s">
        <v>74</v>
      </c>
      <c r="U648" s="1" t="s">
        <v>74</v>
      </c>
      <c r="V648" s="1" t="s">
        <v>6610</v>
      </c>
      <c r="W648" s="1" t="s">
        <v>74</v>
      </c>
      <c r="X648" s="1" t="s">
        <v>74</v>
      </c>
      <c r="Y648" s="1" t="s">
        <v>74</v>
      </c>
      <c r="Z648" s="1" t="s">
        <v>74</v>
      </c>
      <c r="AA648" s="1" t="s">
        <v>6611</v>
      </c>
      <c r="AB648" s="1" t="s">
        <v>6612</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6613</v>
      </c>
      <c r="AP648" s="1" t="s">
        <v>74</v>
      </c>
      <c r="AQ648" s="1" t="s">
        <v>74</v>
      </c>
      <c r="AR648" s="1" t="s">
        <v>74</v>
      </c>
      <c r="AS648" s="1" t="s">
        <v>74</v>
      </c>
      <c r="AT648" s="1" t="s">
        <v>334</v>
      </c>
      <c r="AU648" s="1">
        <v>2021.0</v>
      </c>
      <c r="AV648" s="1">
        <v>28.0</v>
      </c>
      <c r="AW648" s="1" t="s">
        <v>74</v>
      </c>
      <c r="AX648" s="1" t="s">
        <v>74</v>
      </c>
      <c r="AY648" s="1" t="s">
        <v>74</v>
      </c>
      <c r="AZ648" s="1" t="s">
        <v>74</v>
      </c>
      <c r="BA648" s="1" t="s">
        <v>74</v>
      </c>
      <c r="BB648" s="1">
        <v>1522.0</v>
      </c>
      <c r="BC648" s="1">
        <v>1537.0</v>
      </c>
      <c r="BD648" s="1" t="s">
        <v>74</v>
      </c>
      <c r="BE648" s="1" t="s">
        <v>6614</v>
      </c>
      <c r="BF648" s="2" t="str">
        <f>HYPERLINK("http://dx.doi.org/10.1016/j.spc.2021.08.017","http://dx.doi.org/10.1016/j.spc.2021.08.017")</f>
        <v>http://dx.doi.org/10.1016/j.spc.2021.08.017</v>
      </c>
      <c r="BG648" s="1" t="s">
        <v>74</v>
      </c>
      <c r="BH648" s="1" t="s">
        <v>887</v>
      </c>
      <c r="BI648" s="1" t="s">
        <v>74</v>
      </c>
      <c r="BJ648" s="1" t="s">
        <v>74</v>
      </c>
      <c r="BK648" s="1" t="s">
        <v>74</v>
      </c>
      <c r="BL648" s="1" t="s">
        <v>74</v>
      </c>
      <c r="BM648" s="1" t="s">
        <v>74</v>
      </c>
      <c r="BN648" s="1" t="s">
        <v>74</v>
      </c>
      <c r="BO648" s="1" t="s">
        <v>74</v>
      </c>
      <c r="BP648" s="1" t="s">
        <v>74</v>
      </c>
      <c r="BQ648" s="1" t="s">
        <v>74</v>
      </c>
      <c r="BR648" s="1" t="s">
        <v>74</v>
      </c>
      <c r="BS648" s="1" t="s">
        <v>6615</v>
      </c>
      <c r="BT648" s="1" t="str">
        <f>HYPERLINK("https%3A%2F%2Fwww.webofscience.com%2Fwos%2Fwoscc%2Ffull-record%2FWOS:000701878600011","View Full Record in Web of Science")</f>
        <v>View Full Record in Web of Science</v>
      </c>
    </row>
    <row r="649" ht="12.75" customHeight="1">
      <c r="A649" s="1" t="s">
        <v>72</v>
      </c>
      <c r="B649" s="1" t="s">
        <v>6616</v>
      </c>
      <c r="C649" s="1" t="s">
        <v>74</v>
      </c>
      <c r="D649" s="1" t="s">
        <v>74</v>
      </c>
      <c r="E649" s="1" t="s">
        <v>74</v>
      </c>
      <c r="F649" s="1" t="s">
        <v>6617</v>
      </c>
      <c r="G649" s="1" t="s">
        <v>74</v>
      </c>
      <c r="H649" s="1" t="s">
        <v>74</v>
      </c>
      <c r="I649" s="1" t="s">
        <v>6618</v>
      </c>
      <c r="J649" s="1" t="s">
        <v>1226</v>
      </c>
      <c r="K649" s="1" t="s">
        <v>74</v>
      </c>
      <c r="L649" s="1" t="s">
        <v>74</v>
      </c>
      <c r="M649" s="1" t="s">
        <v>74</v>
      </c>
      <c r="N649" s="1" t="s">
        <v>74</v>
      </c>
      <c r="O649" s="1" t="s">
        <v>74</v>
      </c>
      <c r="P649" s="1" t="s">
        <v>74</v>
      </c>
      <c r="Q649" s="1" t="s">
        <v>74</v>
      </c>
      <c r="R649" s="1" t="s">
        <v>74</v>
      </c>
      <c r="S649" s="1" t="s">
        <v>74</v>
      </c>
      <c r="T649" s="1" t="s">
        <v>74</v>
      </c>
      <c r="U649" s="1" t="s">
        <v>74</v>
      </c>
      <c r="V649" s="1" t="s">
        <v>6619</v>
      </c>
      <c r="W649" s="1" t="s">
        <v>74</v>
      </c>
      <c r="X649" s="1" t="s">
        <v>74</v>
      </c>
      <c r="Y649" s="1" t="s">
        <v>74</v>
      </c>
      <c r="Z649" s="1" t="s">
        <v>74</v>
      </c>
      <c r="AA649" s="1" t="s">
        <v>6620</v>
      </c>
      <c r="AB649" s="1" t="s">
        <v>6621</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1228</v>
      </c>
      <c r="AP649" s="1" t="s">
        <v>1229</v>
      </c>
      <c r="AQ649" s="1" t="s">
        <v>74</v>
      </c>
      <c r="AR649" s="1" t="s">
        <v>74</v>
      </c>
      <c r="AS649" s="1" t="s">
        <v>74</v>
      </c>
      <c r="AT649" s="1" t="s">
        <v>5262</v>
      </c>
      <c r="AU649" s="1">
        <v>2021.0</v>
      </c>
      <c r="AV649" s="1">
        <v>647.0</v>
      </c>
      <c r="AW649" s="1" t="s">
        <v>74</v>
      </c>
      <c r="AX649" s="1" t="s">
        <v>74</v>
      </c>
      <c r="AY649" s="1" t="s">
        <v>74</v>
      </c>
      <c r="AZ649" s="1" t="s">
        <v>74</v>
      </c>
      <c r="BA649" s="1" t="s">
        <v>74</v>
      </c>
      <c r="BB649" s="1" t="s">
        <v>74</v>
      </c>
      <c r="BC649" s="1" t="s">
        <v>74</v>
      </c>
      <c r="BD649" s="1" t="s">
        <v>6622</v>
      </c>
      <c r="BE649" s="1" t="s">
        <v>6623</v>
      </c>
      <c r="BF649" s="2" t="str">
        <f>HYPERLINK("http://dx.doi.org/10.1051/0004-6361/202038484","http://dx.doi.org/10.1051/0004-6361/202038484")</f>
        <v>http://dx.doi.org/10.1051/0004-6361/202038484</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6624</v>
      </c>
      <c r="BT649" s="1" t="str">
        <f>HYPERLINK("https%3A%2F%2Fwww.webofscience.com%2Fwos%2Fwoscc%2Ffull-record%2FWOS:000636930800001","View Full Record in Web of Science")</f>
        <v>View Full Record in Web of Science</v>
      </c>
    </row>
    <row r="650" ht="12.75" customHeight="1">
      <c r="A650" s="1" t="s">
        <v>72</v>
      </c>
      <c r="B650" s="1" t="s">
        <v>6625</v>
      </c>
      <c r="C650" s="1" t="s">
        <v>74</v>
      </c>
      <c r="D650" s="1" t="s">
        <v>74</v>
      </c>
      <c r="E650" s="1" t="s">
        <v>74</v>
      </c>
      <c r="F650" s="1" t="s">
        <v>6626</v>
      </c>
      <c r="G650" s="1" t="s">
        <v>74</v>
      </c>
      <c r="H650" s="1" t="s">
        <v>74</v>
      </c>
      <c r="I650" s="1" t="s">
        <v>6627</v>
      </c>
      <c r="J650" s="1" t="s">
        <v>6628</v>
      </c>
      <c r="K650" s="1" t="s">
        <v>74</v>
      </c>
      <c r="L650" s="1" t="s">
        <v>74</v>
      </c>
      <c r="M650" s="1" t="s">
        <v>74</v>
      </c>
      <c r="N650" s="1" t="s">
        <v>74</v>
      </c>
      <c r="O650" s="1" t="s">
        <v>74</v>
      </c>
      <c r="P650" s="1" t="s">
        <v>74</v>
      </c>
      <c r="Q650" s="1" t="s">
        <v>74</v>
      </c>
      <c r="R650" s="1" t="s">
        <v>74</v>
      </c>
      <c r="S650" s="1" t="s">
        <v>74</v>
      </c>
      <c r="T650" s="1" t="s">
        <v>74</v>
      </c>
      <c r="U650" s="1" t="s">
        <v>74</v>
      </c>
      <c r="V650" s="1" t="s">
        <v>6629</v>
      </c>
      <c r="W650" s="1" t="s">
        <v>74</v>
      </c>
      <c r="X650" s="1" t="s">
        <v>74</v>
      </c>
      <c r="Y650" s="1" t="s">
        <v>74</v>
      </c>
      <c r="Z650" s="1" t="s">
        <v>74</v>
      </c>
      <c r="AA650" s="1" t="s">
        <v>6630</v>
      </c>
      <c r="AB650" s="1" t="s">
        <v>6631</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6632</v>
      </c>
      <c r="AP650" s="1" t="s">
        <v>6633</v>
      </c>
      <c r="AQ650" s="1" t="s">
        <v>74</v>
      </c>
      <c r="AR650" s="1" t="s">
        <v>74</v>
      </c>
      <c r="AS650" s="1" t="s">
        <v>74</v>
      </c>
      <c r="AT650" s="1" t="s">
        <v>118</v>
      </c>
      <c r="AU650" s="1">
        <v>2024.0</v>
      </c>
      <c r="AV650" s="1">
        <v>973.0</v>
      </c>
      <c r="AW650" s="1">
        <v>2.0</v>
      </c>
      <c r="AX650" s="1" t="s">
        <v>74</v>
      </c>
      <c r="AY650" s="1" t="s">
        <v>74</v>
      </c>
      <c r="AZ650" s="1" t="s">
        <v>74</v>
      </c>
      <c r="BA650" s="1" t="s">
        <v>74</v>
      </c>
      <c r="BB650" s="1" t="s">
        <v>74</v>
      </c>
      <c r="BC650" s="1" t="s">
        <v>74</v>
      </c>
      <c r="BD650" s="1" t="s">
        <v>6634</v>
      </c>
      <c r="BE650" s="1" t="s">
        <v>6635</v>
      </c>
      <c r="BF650" s="2" t="str">
        <f>HYPERLINK("http://dx.doi.org/10.3847/2041-8213/ad778c","http://dx.doi.org/10.3847/2041-8213/ad778c")</f>
        <v>http://dx.doi.org/10.3847/2041-8213/ad778c</v>
      </c>
      <c r="BG650" s="1" t="s">
        <v>74</v>
      </c>
      <c r="BH650" s="1" t="s">
        <v>74</v>
      </c>
      <c r="BI650" s="1" t="s">
        <v>74</v>
      </c>
      <c r="BJ650" s="1" t="s">
        <v>74</v>
      </c>
      <c r="BK650" s="1" t="s">
        <v>74</v>
      </c>
      <c r="BL650" s="1" t="s">
        <v>74</v>
      </c>
      <c r="BM650" s="1" t="s">
        <v>74</v>
      </c>
      <c r="BN650" s="1" t="s">
        <v>74</v>
      </c>
      <c r="BO650" s="1" t="s">
        <v>74</v>
      </c>
      <c r="BP650" s="1" t="s">
        <v>74</v>
      </c>
      <c r="BQ650" s="1" t="s">
        <v>74</v>
      </c>
      <c r="BR650" s="1" t="s">
        <v>74</v>
      </c>
      <c r="BS650" s="1" t="s">
        <v>6636</v>
      </c>
      <c r="BT650" s="1" t="str">
        <f>HYPERLINK("https%3A%2F%2Fwww.webofscience.com%2Fwos%2Fwoscc%2Ffull-record%2FWOS:001318292400001","View Full Record in Web of Science")</f>
        <v>View Full Record in Web of Science</v>
      </c>
    </row>
    <row r="651" ht="12.75" customHeight="1">
      <c r="A651" s="1" t="s">
        <v>72</v>
      </c>
      <c r="B651" s="1" t="s">
        <v>6637</v>
      </c>
      <c r="C651" s="1" t="s">
        <v>74</v>
      </c>
      <c r="D651" s="1" t="s">
        <v>74</v>
      </c>
      <c r="E651" s="1" t="s">
        <v>74</v>
      </c>
      <c r="F651" s="1" t="s">
        <v>6638</v>
      </c>
      <c r="G651" s="1" t="s">
        <v>74</v>
      </c>
      <c r="H651" s="1" t="s">
        <v>74</v>
      </c>
      <c r="I651" s="1" t="s">
        <v>6639</v>
      </c>
      <c r="J651" s="1" t="s">
        <v>1727</v>
      </c>
      <c r="K651" s="1" t="s">
        <v>74</v>
      </c>
      <c r="L651" s="1" t="s">
        <v>74</v>
      </c>
      <c r="M651" s="1" t="s">
        <v>74</v>
      </c>
      <c r="N651" s="1" t="s">
        <v>74</v>
      </c>
      <c r="O651" s="1" t="s">
        <v>74</v>
      </c>
      <c r="P651" s="1" t="s">
        <v>74</v>
      </c>
      <c r="Q651" s="1" t="s">
        <v>74</v>
      </c>
      <c r="R651" s="1" t="s">
        <v>74</v>
      </c>
      <c r="S651" s="1" t="s">
        <v>74</v>
      </c>
      <c r="T651" s="1" t="s">
        <v>74</v>
      </c>
      <c r="U651" s="1" t="s">
        <v>74</v>
      </c>
      <c r="V651" s="1" t="s">
        <v>6640</v>
      </c>
      <c r="W651" s="1" t="s">
        <v>74</v>
      </c>
      <c r="X651" s="1" t="s">
        <v>74</v>
      </c>
      <c r="Y651" s="1" t="s">
        <v>74</v>
      </c>
      <c r="Z651" s="1" t="s">
        <v>74</v>
      </c>
      <c r="AA651" s="1" t="s">
        <v>6641</v>
      </c>
      <c r="AB651" s="1" t="s">
        <v>6642</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1731</v>
      </c>
      <c r="AP651" s="1" t="s">
        <v>1732</v>
      </c>
      <c r="AQ651" s="1" t="s">
        <v>74</v>
      </c>
      <c r="AR651" s="1" t="s">
        <v>74</v>
      </c>
      <c r="AS651" s="1" t="s">
        <v>74</v>
      </c>
      <c r="AT651" s="1" t="s">
        <v>264</v>
      </c>
      <c r="AU651" s="1">
        <v>2021.0</v>
      </c>
      <c r="AV651" s="1">
        <v>51.0</v>
      </c>
      <c r="AW651" s="1">
        <v>1.0</v>
      </c>
      <c r="AX651" s="1" t="s">
        <v>74</v>
      </c>
      <c r="AY651" s="1" t="s">
        <v>74</v>
      </c>
      <c r="AZ651" s="1" t="s">
        <v>74</v>
      </c>
      <c r="BA651" s="1" t="s">
        <v>74</v>
      </c>
      <c r="BB651" s="1">
        <v>65.0</v>
      </c>
      <c r="BC651" s="1">
        <v>79.0</v>
      </c>
      <c r="BD651" s="1" t="s">
        <v>74</v>
      </c>
      <c r="BE651" s="1" t="s">
        <v>6643</v>
      </c>
      <c r="BF651" s="2" t="str">
        <f>HYPERLINK("http://dx.doi.org/10.1007/s40279-020-01340-6","http://dx.doi.org/10.1007/s40279-020-01340-6")</f>
        <v>http://dx.doi.org/10.1007/s40279-020-01340-6</v>
      </c>
      <c r="BG651" s="1" t="s">
        <v>74</v>
      </c>
      <c r="BH651" s="1" t="s">
        <v>6644</v>
      </c>
      <c r="BI651" s="1" t="s">
        <v>74</v>
      </c>
      <c r="BJ651" s="1" t="s">
        <v>74</v>
      </c>
      <c r="BK651" s="1" t="s">
        <v>74</v>
      </c>
      <c r="BL651" s="1" t="s">
        <v>74</v>
      </c>
      <c r="BM651" s="1" t="s">
        <v>74</v>
      </c>
      <c r="BN651" s="1">
        <v>3.2897526E7</v>
      </c>
      <c r="BO651" s="1" t="s">
        <v>74</v>
      </c>
      <c r="BP651" s="1" t="s">
        <v>74</v>
      </c>
      <c r="BQ651" s="1" t="s">
        <v>74</v>
      </c>
      <c r="BR651" s="1" t="s">
        <v>74</v>
      </c>
      <c r="BS651" s="1" t="s">
        <v>6645</v>
      </c>
      <c r="BT651" s="1" t="str">
        <f>HYPERLINK("https%3A%2F%2Fwww.webofscience.com%2Fwos%2Fwoscc%2Ffull-record%2FWOS:000568164600001","View Full Record in Web of Science")</f>
        <v>View Full Record in Web of Science</v>
      </c>
    </row>
    <row r="652" ht="12.75" customHeight="1">
      <c r="A652" s="1" t="s">
        <v>72</v>
      </c>
      <c r="B652" s="1" t="s">
        <v>6646</v>
      </c>
      <c r="C652" s="1" t="s">
        <v>74</v>
      </c>
      <c r="D652" s="1" t="s">
        <v>74</v>
      </c>
      <c r="E652" s="1" t="s">
        <v>74</v>
      </c>
      <c r="F652" s="1" t="s">
        <v>6647</v>
      </c>
      <c r="G652" s="1" t="s">
        <v>74</v>
      </c>
      <c r="H652" s="1" t="s">
        <v>74</v>
      </c>
      <c r="I652" s="1" t="s">
        <v>6648</v>
      </c>
      <c r="J652" s="1" t="s">
        <v>682</v>
      </c>
      <c r="K652" s="1" t="s">
        <v>74</v>
      </c>
      <c r="L652" s="1" t="s">
        <v>74</v>
      </c>
      <c r="M652" s="1" t="s">
        <v>74</v>
      </c>
      <c r="N652" s="1" t="s">
        <v>74</v>
      </c>
      <c r="O652" s="1" t="s">
        <v>74</v>
      </c>
      <c r="P652" s="1" t="s">
        <v>74</v>
      </c>
      <c r="Q652" s="1" t="s">
        <v>74</v>
      </c>
      <c r="R652" s="1" t="s">
        <v>74</v>
      </c>
      <c r="S652" s="1" t="s">
        <v>74</v>
      </c>
      <c r="T652" s="1" t="s">
        <v>74</v>
      </c>
      <c r="U652" s="1" t="s">
        <v>74</v>
      </c>
      <c r="V652" s="1" t="s">
        <v>6649</v>
      </c>
      <c r="W652" s="1" t="s">
        <v>74</v>
      </c>
      <c r="X652" s="1" t="s">
        <v>74</v>
      </c>
      <c r="Y652" s="1" t="s">
        <v>74</v>
      </c>
      <c r="Z652" s="1" t="s">
        <v>74</v>
      </c>
      <c r="AA652" s="1" t="s">
        <v>6650</v>
      </c>
      <c r="AB652" s="1" t="s">
        <v>6651</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686</v>
      </c>
      <c r="AP652" s="1" t="s">
        <v>687</v>
      </c>
      <c r="AQ652" s="1" t="s">
        <v>74</v>
      </c>
      <c r="AR652" s="1" t="s">
        <v>74</v>
      </c>
      <c r="AS652" s="1" t="s">
        <v>74</v>
      </c>
      <c r="AT652" s="1" t="s">
        <v>141</v>
      </c>
      <c r="AU652" s="1">
        <v>2022.0</v>
      </c>
      <c r="AV652" s="1">
        <v>205.0</v>
      </c>
      <c r="AW652" s="1" t="s">
        <v>74</v>
      </c>
      <c r="AX652" s="1" t="s">
        <v>74</v>
      </c>
      <c r="AY652" s="1" t="s">
        <v>74</v>
      </c>
      <c r="AZ652" s="1" t="s">
        <v>74</v>
      </c>
      <c r="BA652" s="1" t="s">
        <v>74</v>
      </c>
      <c r="BB652" s="1" t="s">
        <v>74</v>
      </c>
      <c r="BC652" s="1" t="s">
        <v>74</v>
      </c>
      <c r="BD652" s="1">
        <v>110323.0</v>
      </c>
      <c r="BE652" s="1" t="s">
        <v>6652</v>
      </c>
      <c r="BF652" s="2" t="str">
        <f>HYPERLINK("http://dx.doi.org/10.1016/j.dyepig.2022.110323","http://dx.doi.org/10.1016/j.dyepig.2022.110323")</f>
        <v>http://dx.doi.org/10.1016/j.dyepig.2022.110323</v>
      </c>
      <c r="BG652" s="1" t="s">
        <v>74</v>
      </c>
      <c r="BH652" s="1" t="s">
        <v>6653</v>
      </c>
      <c r="BI652" s="1" t="s">
        <v>74</v>
      </c>
      <c r="BJ652" s="1" t="s">
        <v>74</v>
      </c>
      <c r="BK652" s="1" t="s">
        <v>74</v>
      </c>
      <c r="BL652" s="1" t="s">
        <v>74</v>
      </c>
      <c r="BM652" s="1" t="s">
        <v>74</v>
      </c>
      <c r="BN652" s="1" t="s">
        <v>74</v>
      </c>
      <c r="BO652" s="1" t="s">
        <v>74</v>
      </c>
      <c r="BP652" s="1" t="s">
        <v>74</v>
      </c>
      <c r="BQ652" s="1" t="s">
        <v>74</v>
      </c>
      <c r="BR652" s="1" t="s">
        <v>74</v>
      </c>
      <c r="BS652" s="1" t="s">
        <v>6654</v>
      </c>
      <c r="BT652" s="1" t="str">
        <f>HYPERLINK("https%3A%2F%2Fwww.webofscience.com%2Fwos%2Fwoscc%2Ffull-record%2FWOS:000834621100002","View Full Record in Web of Science")</f>
        <v>View Full Record in Web of Science</v>
      </c>
    </row>
    <row r="653" ht="12.75" customHeight="1">
      <c r="A653" s="1" t="s">
        <v>72</v>
      </c>
      <c r="B653" s="1" t="s">
        <v>6655</v>
      </c>
      <c r="C653" s="1" t="s">
        <v>74</v>
      </c>
      <c r="D653" s="1" t="s">
        <v>74</v>
      </c>
      <c r="E653" s="1" t="s">
        <v>74</v>
      </c>
      <c r="F653" s="1" t="s">
        <v>6656</v>
      </c>
      <c r="G653" s="1" t="s">
        <v>74</v>
      </c>
      <c r="H653" s="1" t="s">
        <v>74</v>
      </c>
      <c r="I653" s="1" t="s">
        <v>6657</v>
      </c>
      <c r="J653" s="1" t="s">
        <v>4528</v>
      </c>
      <c r="K653" s="1" t="s">
        <v>74</v>
      </c>
      <c r="L653" s="1" t="s">
        <v>74</v>
      </c>
      <c r="M653" s="1" t="s">
        <v>74</v>
      </c>
      <c r="N653" s="1" t="s">
        <v>74</v>
      </c>
      <c r="O653" s="1" t="s">
        <v>74</v>
      </c>
      <c r="P653" s="1" t="s">
        <v>74</v>
      </c>
      <c r="Q653" s="1" t="s">
        <v>74</v>
      </c>
      <c r="R653" s="1" t="s">
        <v>74</v>
      </c>
      <c r="S653" s="1" t="s">
        <v>74</v>
      </c>
      <c r="T653" s="1" t="s">
        <v>74</v>
      </c>
      <c r="U653" s="1" t="s">
        <v>74</v>
      </c>
      <c r="V653" s="1" t="s">
        <v>6658</v>
      </c>
      <c r="W653" s="1" t="s">
        <v>74</v>
      </c>
      <c r="X653" s="1" t="s">
        <v>74</v>
      </c>
      <c r="Y653" s="1" t="s">
        <v>74</v>
      </c>
      <c r="Z653" s="1" t="s">
        <v>74</v>
      </c>
      <c r="AA653" s="1" t="s">
        <v>6659</v>
      </c>
      <c r="AB653" s="1" t="s">
        <v>6660</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4532</v>
      </c>
      <c r="AP653" s="1" t="s">
        <v>4533</v>
      </c>
      <c r="AQ653" s="1" t="s">
        <v>74</v>
      </c>
      <c r="AR653" s="1" t="s">
        <v>74</v>
      </c>
      <c r="AS653" s="1" t="s">
        <v>74</v>
      </c>
      <c r="AT653" s="1" t="s">
        <v>1428</v>
      </c>
      <c r="AU653" s="1">
        <v>2014.0</v>
      </c>
      <c r="AV653" s="1">
        <v>119.0</v>
      </c>
      <c r="AW653" s="1">
        <v>21.0</v>
      </c>
      <c r="AX653" s="1" t="s">
        <v>74</v>
      </c>
      <c r="AY653" s="1" t="s">
        <v>74</v>
      </c>
      <c r="AZ653" s="1" t="s">
        <v>74</v>
      </c>
      <c r="BA653" s="1" t="s">
        <v>74</v>
      </c>
      <c r="BB653" s="1">
        <v>12317.0</v>
      </c>
      <c r="BC653" s="1">
        <v>12337.0</v>
      </c>
      <c r="BD653" s="1" t="s">
        <v>74</v>
      </c>
      <c r="BE653" s="1" t="s">
        <v>6661</v>
      </c>
      <c r="BF653" s="2" t="str">
        <f>HYPERLINK("http://dx.doi.org/10.1002/2014JD021975","http://dx.doi.org/10.1002/2014JD021975")</f>
        <v>http://dx.doi.org/10.1002/2014JD021975</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6662</v>
      </c>
      <c r="BT653" s="1" t="str">
        <f>HYPERLINK("https%3A%2F%2Fwww.webofscience.com%2Fwos%2Fwoscc%2Ffull-record%2FWOS:000345696600028","View Full Record in Web of Science")</f>
        <v>View Full Record in Web of Science</v>
      </c>
    </row>
    <row r="654" ht="12.75" customHeight="1">
      <c r="A654" s="1" t="s">
        <v>72</v>
      </c>
      <c r="B654" s="1" t="s">
        <v>6663</v>
      </c>
      <c r="C654" s="1" t="s">
        <v>74</v>
      </c>
      <c r="D654" s="1" t="s">
        <v>74</v>
      </c>
      <c r="E654" s="1" t="s">
        <v>74</v>
      </c>
      <c r="F654" s="1" t="s">
        <v>6664</v>
      </c>
      <c r="G654" s="1" t="s">
        <v>74</v>
      </c>
      <c r="H654" s="1" t="s">
        <v>74</v>
      </c>
      <c r="I654" s="1" t="s">
        <v>6665</v>
      </c>
      <c r="J654" s="1" t="s">
        <v>220</v>
      </c>
      <c r="K654" s="1" t="s">
        <v>74</v>
      </c>
      <c r="L654" s="1" t="s">
        <v>74</v>
      </c>
      <c r="M654" s="1" t="s">
        <v>74</v>
      </c>
      <c r="N654" s="1" t="s">
        <v>74</v>
      </c>
      <c r="O654" s="1" t="s">
        <v>74</v>
      </c>
      <c r="P654" s="1" t="s">
        <v>74</v>
      </c>
      <c r="Q654" s="1" t="s">
        <v>74</v>
      </c>
      <c r="R654" s="1" t="s">
        <v>74</v>
      </c>
      <c r="S654" s="1" t="s">
        <v>74</v>
      </c>
      <c r="T654" s="1" t="s">
        <v>74</v>
      </c>
      <c r="U654" s="1" t="s">
        <v>74</v>
      </c>
      <c r="V654" s="1" t="s">
        <v>6666</v>
      </c>
      <c r="W654" s="1" t="s">
        <v>74</v>
      </c>
      <c r="X654" s="1" t="s">
        <v>74</v>
      </c>
      <c r="Y654" s="1" t="s">
        <v>74</v>
      </c>
      <c r="Z654" s="1" t="s">
        <v>74</v>
      </c>
      <c r="AA654" s="1" t="s">
        <v>6667</v>
      </c>
      <c r="AB654" s="1" t="s">
        <v>6668</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224</v>
      </c>
      <c r="AP654" s="1" t="s">
        <v>225</v>
      </c>
      <c r="AQ654" s="1" t="s">
        <v>74</v>
      </c>
      <c r="AR654" s="1" t="s">
        <v>74</v>
      </c>
      <c r="AS654" s="1" t="s">
        <v>74</v>
      </c>
      <c r="AT654" s="1" t="s">
        <v>6669</v>
      </c>
      <c r="AU654" s="1">
        <v>2013.0</v>
      </c>
      <c r="AV654" s="1">
        <v>1051.0</v>
      </c>
      <c r="AW654" s="1" t="s">
        <v>74</v>
      </c>
      <c r="AX654" s="1" t="s">
        <v>74</v>
      </c>
      <c r="AY654" s="1" t="s">
        <v>74</v>
      </c>
      <c r="AZ654" s="1" t="s">
        <v>74</v>
      </c>
      <c r="BA654" s="1" t="s">
        <v>74</v>
      </c>
      <c r="BB654" s="1">
        <v>205.0</v>
      </c>
      <c r="BC654" s="1">
        <v>210.0</v>
      </c>
      <c r="BD654" s="1" t="s">
        <v>74</v>
      </c>
      <c r="BE654" s="1" t="s">
        <v>6670</v>
      </c>
      <c r="BF654" s="2" t="str">
        <f>HYPERLINK("http://dx.doi.org/10.1016/j.molstruc.2013.08.005","http://dx.doi.org/10.1016/j.molstruc.2013.08.005")</f>
        <v>http://dx.doi.org/10.1016/j.molstruc.2013.08.005</v>
      </c>
      <c r="BG654" s="1" t="s">
        <v>74</v>
      </c>
      <c r="BH654" s="1" t="s">
        <v>74</v>
      </c>
      <c r="BI654" s="1" t="s">
        <v>74</v>
      </c>
      <c r="BJ654" s="1" t="s">
        <v>74</v>
      </c>
      <c r="BK654" s="1" t="s">
        <v>74</v>
      </c>
      <c r="BL654" s="1" t="s">
        <v>74</v>
      </c>
      <c r="BM654" s="1" t="s">
        <v>74</v>
      </c>
      <c r="BN654" s="1" t="s">
        <v>74</v>
      </c>
      <c r="BO654" s="1" t="s">
        <v>74</v>
      </c>
      <c r="BP654" s="1" t="s">
        <v>74</v>
      </c>
      <c r="BQ654" s="1" t="s">
        <v>74</v>
      </c>
      <c r="BR654" s="1" t="s">
        <v>74</v>
      </c>
      <c r="BS654" s="1" t="s">
        <v>6671</v>
      </c>
      <c r="BT654" s="1" t="str">
        <f>HYPERLINK("https%3A%2F%2Fwww.webofscience.com%2Fwos%2Fwoscc%2Ffull-record%2FWOS:000325841100026","View Full Record in Web of Science")</f>
        <v>View Full Record in Web of Science</v>
      </c>
    </row>
    <row r="655" ht="12.75" customHeight="1">
      <c r="A655" s="1" t="s">
        <v>72</v>
      </c>
      <c r="B655" s="1" t="s">
        <v>6672</v>
      </c>
      <c r="C655" s="1" t="s">
        <v>74</v>
      </c>
      <c r="D655" s="1" t="s">
        <v>74</v>
      </c>
      <c r="E655" s="1" t="s">
        <v>74</v>
      </c>
      <c r="F655" s="1" t="s">
        <v>6673</v>
      </c>
      <c r="G655" s="1" t="s">
        <v>74</v>
      </c>
      <c r="H655" s="1" t="s">
        <v>74</v>
      </c>
      <c r="I655" s="1" t="s">
        <v>6674</v>
      </c>
      <c r="J655" s="1" t="s">
        <v>2174</v>
      </c>
      <c r="K655" s="1" t="s">
        <v>74</v>
      </c>
      <c r="L655" s="1" t="s">
        <v>74</v>
      </c>
      <c r="M655" s="1" t="s">
        <v>74</v>
      </c>
      <c r="N655" s="1" t="s">
        <v>74</v>
      </c>
      <c r="O655" s="1" t="s">
        <v>74</v>
      </c>
      <c r="P655" s="1" t="s">
        <v>74</v>
      </c>
      <c r="Q655" s="1" t="s">
        <v>74</v>
      </c>
      <c r="R655" s="1" t="s">
        <v>74</v>
      </c>
      <c r="S655" s="1" t="s">
        <v>74</v>
      </c>
      <c r="T655" s="1" t="s">
        <v>74</v>
      </c>
      <c r="U655" s="1" t="s">
        <v>74</v>
      </c>
      <c r="V655" s="1" t="s">
        <v>6675</v>
      </c>
      <c r="W655" s="1" t="s">
        <v>74</v>
      </c>
      <c r="X655" s="1" t="s">
        <v>74</v>
      </c>
      <c r="Y655" s="1" t="s">
        <v>74</v>
      </c>
      <c r="Z655" s="1" t="s">
        <v>74</v>
      </c>
      <c r="AA655" s="1" t="s">
        <v>6676</v>
      </c>
      <c r="AB655" s="1" t="s">
        <v>6677</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2178</v>
      </c>
      <c r="AP655" s="1" t="s">
        <v>74</v>
      </c>
      <c r="AQ655" s="1" t="s">
        <v>74</v>
      </c>
      <c r="AR655" s="1" t="s">
        <v>74</v>
      </c>
      <c r="AS655" s="1" t="s">
        <v>74</v>
      </c>
      <c r="AT655" s="1" t="s">
        <v>1198</v>
      </c>
      <c r="AU655" s="1">
        <v>2020.0</v>
      </c>
      <c r="AV655" s="1">
        <v>117.0</v>
      </c>
      <c r="AW655" s="1">
        <v>30.0</v>
      </c>
      <c r="AX655" s="1" t="s">
        <v>74</v>
      </c>
      <c r="AY655" s="1" t="s">
        <v>74</v>
      </c>
      <c r="AZ655" s="1" t="s">
        <v>74</v>
      </c>
      <c r="BA655" s="1" t="s">
        <v>74</v>
      </c>
      <c r="BB655" s="1">
        <v>17627.0</v>
      </c>
      <c r="BC655" s="1">
        <v>17634.0</v>
      </c>
      <c r="BD655" s="1" t="s">
        <v>74</v>
      </c>
      <c r="BE655" s="1" t="s">
        <v>6678</v>
      </c>
      <c r="BF655" s="2" t="str">
        <f>HYPERLINK("http://dx.doi.org/10.1073/pnas.2003361117","http://dx.doi.org/10.1073/pnas.2003361117")</f>
        <v>http://dx.doi.org/10.1073/pnas.2003361117</v>
      </c>
      <c r="BG655" s="1" t="s">
        <v>74</v>
      </c>
      <c r="BH655" s="1" t="s">
        <v>74</v>
      </c>
      <c r="BI655" s="1" t="s">
        <v>74</v>
      </c>
      <c r="BJ655" s="1" t="s">
        <v>74</v>
      </c>
      <c r="BK655" s="1" t="s">
        <v>74</v>
      </c>
      <c r="BL655" s="1" t="s">
        <v>74</v>
      </c>
      <c r="BM655" s="1" t="s">
        <v>74</v>
      </c>
      <c r="BN655" s="1">
        <v>3.2661144E7</v>
      </c>
      <c r="BO655" s="1" t="s">
        <v>74</v>
      </c>
      <c r="BP655" s="1" t="s">
        <v>74</v>
      </c>
      <c r="BQ655" s="1" t="s">
        <v>74</v>
      </c>
      <c r="BR655" s="1" t="s">
        <v>74</v>
      </c>
      <c r="BS655" s="1" t="s">
        <v>6679</v>
      </c>
      <c r="BT655" s="1" t="str">
        <f>HYPERLINK("https%3A%2F%2Fwww.webofscience.com%2Fwos%2Fwoscc%2Ffull-record%2FWOS:000555848400006","View Full Record in Web of Science")</f>
        <v>View Full Record in Web of Science</v>
      </c>
    </row>
    <row r="656" ht="12.75" customHeight="1">
      <c r="A656" s="1" t="s">
        <v>72</v>
      </c>
      <c r="B656" s="1" t="s">
        <v>6680</v>
      </c>
      <c r="C656" s="1" t="s">
        <v>74</v>
      </c>
      <c r="D656" s="1" t="s">
        <v>74</v>
      </c>
      <c r="E656" s="1" t="s">
        <v>74</v>
      </c>
      <c r="F656" s="1" t="s">
        <v>6681</v>
      </c>
      <c r="G656" s="1" t="s">
        <v>74</v>
      </c>
      <c r="H656" s="1" t="s">
        <v>74</v>
      </c>
      <c r="I656" s="1" t="s">
        <v>6682</v>
      </c>
      <c r="J656" s="1" t="s">
        <v>5974</v>
      </c>
      <c r="K656" s="1" t="s">
        <v>74</v>
      </c>
      <c r="L656" s="1" t="s">
        <v>74</v>
      </c>
      <c r="M656" s="1" t="s">
        <v>74</v>
      </c>
      <c r="N656" s="1" t="s">
        <v>74</v>
      </c>
      <c r="O656" s="1" t="s">
        <v>74</v>
      </c>
      <c r="P656" s="1" t="s">
        <v>74</v>
      </c>
      <c r="Q656" s="1" t="s">
        <v>74</v>
      </c>
      <c r="R656" s="1" t="s">
        <v>74</v>
      </c>
      <c r="S656" s="1" t="s">
        <v>74</v>
      </c>
      <c r="T656" s="1" t="s">
        <v>74</v>
      </c>
      <c r="U656" s="1" t="s">
        <v>74</v>
      </c>
      <c r="V656" s="1" t="s">
        <v>6683</v>
      </c>
      <c r="W656" s="1" t="s">
        <v>74</v>
      </c>
      <c r="X656" s="1" t="s">
        <v>74</v>
      </c>
      <c r="Y656" s="1" t="s">
        <v>74</v>
      </c>
      <c r="Z656" s="1" t="s">
        <v>74</v>
      </c>
      <c r="AA656" s="1" t="s">
        <v>6684</v>
      </c>
      <c r="AB656" s="1" t="s">
        <v>6685</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5978</v>
      </c>
      <c r="AP656" s="1" t="s">
        <v>5979</v>
      </c>
      <c r="AQ656" s="1" t="s">
        <v>74</v>
      </c>
      <c r="AR656" s="1" t="s">
        <v>74</v>
      </c>
      <c r="AS656" s="1" t="s">
        <v>74</v>
      </c>
      <c r="AT656" s="1" t="s">
        <v>6686</v>
      </c>
      <c r="AU656" s="1">
        <v>2016.0</v>
      </c>
      <c r="AV656" s="1">
        <v>18.0</v>
      </c>
      <c r="AW656" s="1">
        <v>8.0</v>
      </c>
      <c r="AX656" s="1" t="s">
        <v>74</v>
      </c>
      <c r="AY656" s="1" t="s">
        <v>74</v>
      </c>
      <c r="AZ656" s="1" t="s">
        <v>74</v>
      </c>
      <c r="BA656" s="1" t="s">
        <v>74</v>
      </c>
      <c r="BB656" s="1" t="s">
        <v>74</v>
      </c>
      <c r="BC656" s="1" t="s">
        <v>74</v>
      </c>
      <c r="BD656" s="1">
        <v>230.0</v>
      </c>
      <c r="BE656" s="1" t="s">
        <v>6687</v>
      </c>
      <c r="BF656" s="2" t="str">
        <f>HYPERLINK("http://dx.doi.org/10.1007/s11051-016-3463-5","http://dx.doi.org/10.1007/s11051-016-3463-5")</f>
        <v>http://dx.doi.org/10.1007/s11051-016-3463-5</v>
      </c>
      <c r="BG656" s="1" t="s">
        <v>74</v>
      </c>
      <c r="BH656" s="1" t="s">
        <v>74</v>
      </c>
      <c r="BI656" s="1" t="s">
        <v>74</v>
      </c>
      <c r="BJ656" s="1" t="s">
        <v>74</v>
      </c>
      <c r="BK656" s="1" t="s">
        <v>74</v>
      </c>
      <c r="BL656" s="1" t="s">
        <v>74</v>
      </c>
      <c r="BM656" s="1" t="s">
        <v>74</v>
      </c>
      <c r="BN656" s="1" t="s">
        <v>74</v>
      </c>
      <c r="BO656" s="1" t="s">
        <v>74</v>
      </c>
      <c r="BP656" s="1" t="s">
        <v>74</v>
      </c>
      <c r="BQ656" s="1" t="s">
        <v>74</v>
      </c>
      <c r="BR656" s="1" t="s">
        <v>74</v>
      </c>
      <c r="BS656" s="1" t="s">
        <v>6688</v>
      </c>
      <c r="BT656" s="1" t="str">
        <f>HYPERLINK("https%3A%2F%2Fwww.webofscience.com%2Fwos%2Fwoscc%2Ffull-record%2FWOS:000382015400010","View Full Record in Web of Science")</f>
        <v>View Full Record in Web of Science</v>
      </c>
    </row>
    <row r="657" ht="12.75" customHeight="1">
      <c r="A657" s="1" t="s">
        <v>72</v>
      </c>
      <c r="B657" s="1" t="s">
        <v>6689</v>
      </c>
      <c r="C657" s="1" t="s">
        <v>74</v>
      </c>
      <c r="D657" s="1" t="s">
        <v>74</v>
      </c>
      <c r="E657" s="1" t="s">
        <v>74</v>
      </c>
      <c r="F657" s="1" t="s">
        <v>6690</v>
      </c>
      <c r="G657" s="1" t="s">
        <v>74</v>
      </c>
      <c r="H657" s="1" t="s">
        <v>74</v>
      </c>
      <c r="I657" s="1" t="s">
        <v>6691</v>
      </c>
      <c r="J657" s="1" t="s">
        <v>1078</v>
      </c>
      <c r="K657" s="1" t="s">
        <v>74</v>
      </c>
      <c r="L657" s="1" t="s">
        <v>74</v>
      </c>
      <c r="M657" s="1" t="s">
        <v>74</v>
      </c>
      <c r="N657" s="1" t="s">
        <v>74</v>
      </c>
      <c r="O657" s="1" t="s">
        <v>74</v>
      </c>
      <c r="P657" s="1" t="s">
        <v>74</v>
      </c>
      <c r="Q657" s="1" t="s">
        <v>74</v>
      </c>
      <c r="R657" s="1" t="s">
        <v>74</v>
      </c>
      <c r="S657" s="1" t="s">
        <v>74</v>
      </c>
      <c r="T657" s="1" t="s">
        <v>74</v>
      </c>
      <c r="U657" s="1" t="s">
        <v>74</v>
      </c>
      <c r="V657" s="1" t="s">
        <v>6692</v>
      </c>
      <c r="W657" s="1" t="s">
        <v>74</v>
      </c>
      <c r="X657" s="1" t="s">
        <v>74</v>
      </c>
      <c r="Y657" s="1" t="s">
        <v>74</v>
      </c>
      <c r="Z657" s="1" t="s">
        <v>74</v>
      </c>
      <c r="AA657" s="1" t="s">
        <v>6693</v>
      </c>
      <c r="AB657" s="1" t="s">
        <v>6694</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1082</v>
      </c>
      <c r="AP657" s="1" t="s">
        <v>1083</v>
      </c>
      <c r="AQ657" s="1" t="s">
        <v>74</v>
      </c>
      <c r="AR657" s="1" t="s">
        <v>74</v>
      </c>
      <c r="AS657" s="1" t="s">
        <v>74</v>
      </c>
      <c r="AT657" s="1" t="s">
        <v>1084</v>
      </c>
      <c r="AU657" s="1">
        <v>2023.0</v>
      </c>
      <c r="AV657" s="1">
        <v>26.0</v>
      </c>
      <c r="AW657" s="1">
        <v>3.0</v>
      </c>
      <c r="AX657" s="1" t="s">
        <v>74</v>
      </c>
      <c r="AY657" s="1" t="s">
        <v>74</v>
      </c>
      <c r="AZ657" s="1" t="s">
        <v>74</v>
      </c>
      <c r="BA657" s="1" t="s">
        <v>74</v>
      </c>
      <c r="BB657" s="1">
        <v>279.0</v>
      </c>
      <c r="BC657" s="1">
        <v>290.0</v>
      </c>
      <c r="BD657" s="1" t="s">
        <v>74</v>
      </c>
      <c r="BE657" s="1" t="s">
        <v>6695</v>
      </c>
      <c r="BF657" s="2" t="str">
        <f>HYPERLINK("http://dx.doi.org/10.5209/rpub.92131","http://dx.doi.org/10.5209/rpub.92131")</f>
        <v>http://dx.doi.org/10.5209/rpub.92131</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6696</v>
      </c>
      <c r="BT657" s="1" t="str">
        <f>HYPERLINK("https%3A%2F%2Fwww.webofscience.com%2Fwos%2Fwoscc%2Ffull-record%2FWOS:001178380700009","View Full Record in Web of Science")</f>
        <v>View Full Record in Web of Science</v>
      </c>
    </row>
    <row r="658" ht="12.75" customHeight="1">
      <c r="A658" s="1" t="s">
        <v>72</v>
      </c>
      <c r="B658" s="1" t="s">
        <v>6446</v>
      </c>
      <c r="C658" s="1" t="s">
        <v>74</v>
      </c>
      <c r="D658" s="1" t="s">
        <v>74</v>
      </c>
      <c r="E658" s="1" t="s">
        <v>74</v>
      </c>
      <c r="F658" s="1" t="s">
        <v>6447</v>
      </c>
      <c r="G658" s="1" t="s">
        <v>74</v>
      </c>
      <c r="H658" s="1" t="s">
        <v>74</v>
      </c>
      <c r="I658" s="1" t="s">
        <v>6697</v>
      </c>
      <c r="J658" s="1" t="s">
        <v>6698</v>
      </c>
      <c r="K658" s="1" t="s">
        <v>74</v>
      </c>
      <c r="L658" s="1" t="s">
        <v>74</v>
      </c>
      <c r="M658" s="1" t="s">
        <v>74</v>
      </c>
      <c r="N658" s="1" t="s">
        <v>74</v>
      </c>
      <c r="O658" s="1" t="s">
        <v>74</v>
      </c>
      <c r="P658" s="1" t="s">
        <v>74</v>
      </c>
      <c r="Q658" s="1" t="s">
        <v>74</v>
      </c>
      <c r="R658" s="1" t="s">
        <v>74</v>
      </c>
      <c r="S658" s="1" t="s">
        <v>74</v>
      </c>
      <c r="T658" s="1" t="s">
        <v>74</v>
      </c>
      <c r="U658" s="1" t="s">
        <v>74</v>
      </c>
      <c r="V658" s="1" t="s">
        <v>6699</v>
      </c>
      <c r="W658" s="1" t="s">
        <v>74</v>
      </c>
      <c r="X658" s="1" t="s">
        <v>74</v>
      </c>
      <c r="Y658" s="1" t="s">
        <v>74</v>
      </c>
      <c r="Z658" s="1" t="s">
        <v>74</v>
      </c>
      <c r="AA658" s="1" t="s">
        <v>6700</v>
      </c>
      <c r="AB658" s="1" t="s">
        <v>6701</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6702</v>
      </c>
      <c r="AP658" s="1" t="s">
        <v>6703</v>
      </c>
      <c r="AQ658" s="1" t="s">
        <v>74</v>
      </c>
      <c r="AR658" s="1" t="s">
        <v>74</v>
      </c>
      <c r="AS658" s="1" t="s">
        <v>74</v>
      </c>
      <c r="AT658" s="1" t="s">
        <v>6704</v>
      </c>
      <c r="AU658" s="1">
        <v>2024.0</v>
      </c>
      <c r="AV658" s="1" t="s">
        <v>74</v>
      </c>
      <c r="AW658" s="1" t="s">
        <v>74</v>
      </c>
      <c r="AX658" s="1" t="s">
        <v>74</v>
      </c>
      <c r="AY658" s="1" t="s">
        <v>74</v>
      </c>
      <c r="AZ658" s="1" t="s">
        <v>74</v>
      </c>
      <c r="BA658" s="1" t="s">
        <v>74</v>
      </c>
      <c r="BB658" s="1" t="s">
        <v>74</v>
      </c>
      <c r="BC658" s="1" t="s">
        <v>74</v>
      </c>
      <c r="BD658" s="1" t="s">
        <v>74</v>
      </c>
      <c r="BE658" s="1" t="s">
        <v>6705</v>
      </c>
      <c r="BF658" s="2" t="str">
        <f>HYPERLINK("http://dx.doi.org/10.1177/08982643241273252","http://dx.doi.org/10.1177/08982643241273252")</f>
        <v>http://dx.doi.org/10.1177/08982643241273252</v>
      </c>
      <c r="BG658" s="1" t="s">
        <v>74</v>
      </c>
      <c r="BH658" s="1" t="s">
        <v>677</v>
      </c>
      <c r="BI658" s="1" t="s">
        <v>74</v>
      </c>
      <c r="BJ658" s="1" t="s">
        <v>74</v>
      </c>
      <c r="BK658" s="1" t="s">
        <v>74</v>
      </c>
      <c r="BL658" s="1" t="s">
        <v>74</v>
      </c>
      <c r="BM658" s="1" t="s">
        <v>74</v>
      </c>
      <c r="BN658" s="1">
        <v>3.9139082E7</v>
      </c>
      <c r="BO658" s="1" t="s">
        <v>74</v>
      </c>
      <c r="BP658" s="1" t="s">
        <v>74</v>
      </c>
      <c r="BQ658" s="1" t="s">
        <v>74</v>
      </c>
      <c r="BR658" s="1" t="s">
        <v>74</v>
      </c>
      <c r="BS658" s="1" t="s">
        <v>6706</v>
      </c>
      <c r="BT658" s="1" t="str">
        <f>HYPERLINK("https%3A%2F%2Fwww.webofscience.com%2Fwos%2Fwoscc%2Ffull-record%2FWOS:001290581500001","View Full Record in Web of Science")</f>
        <v>View Full Record in Web of Science</v>
      </c>
    </row>
    <row r="659" ht="12.75" customHeight="1">
      <c r="A659" s="1" t="s">
        <v>72</v>
      </c>
      <c r="B659" s="1" t="s">
        <v>5631</v>
      </c>
      <c r="C659" s="1" t="s">
        <v>74</v>
      </c>
      <c r="D659" s="1" t="s">
        <v>74</v>
      </c>
      <c r="E659" s="1" t="s">
        <v>74</v>
      </c>
      <c r="F659" s="1" t="s">
        <v>5632</v>
      </c>
      <c r="G659" s="1" t="s">
        <v>74</v>
      </c>
      <c r="H659" s="1" t="s">
        <v>74</v>
      </c>
      <c r="I659" s="1" t="s">
        <v>6707</v>
      </c>
      <c r="J659" s="1" t="s">
        <v>5634</v>
      </c>
      <c r="K659" s="1" t="s">
        <v>74</v>
      </c>
      <c r="L659" s="1" t="s">
        <v>74</v>
      </c>
      <c r="M659" s="1" t="s">
        <v>74</v>
      </c>
      <c r="N659" s="1" t="s">
        <v>74</v>
      </c>
      <c r="O659" s="1" t="s">
        <v>74</v>
      </c>
      <c r="P659" s="1" t="s">
        <v>74</v>
      </c>
      <c r="Q659" s="1" t="s">
        <v>74</v>
      </c>
      <c r="R659" s="1" t="s">
        <v>74</v>
      </c>
      <c r="S659" s="1" t="s">
        <v>74</v>
      </c>
      <c r="T659" s="1" t="s">
        <v>74</v>
      </c>
      <c r="U659" s="1" t="s">
        <v>74</v>
      </c>
      <c r="V659" s="1" t="s">
        <v>6708</v>
      </c>
      <c r="W659" s="1" t="s">
        <v>74</v>
      </c>
      <c r="X659" s="1" t="s">
        <v>74</v>
      </c>
      <c r="Y659" s="1" t="s">
        <v>74</v>
      </c>
      <c r="Z659" s="1" t="s">
        <v>74</v>
      </c>
      <c r="AA659" s="1" t="s">
        <v>6709</v>
      </c>
      <c r="AB659" s="1" t="s">
        <v>6710</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5637</v>
      </c>
      <c r="AP659" s="1" t="s">
        <v>5638</v>
      </c>
      <c r="AQ659" s="1" t="s">
        <v>74</v>
      </c>
      <c r="AR659" s="1" t="s">
        <v>74</v>
      </c>
      <c r="AS659" s="1" t="s">
        <v>74</v>
      </c>
      <c r="AT659" s="1" t="s">
        <v>6711</v>
      </c>
      <c r="AU659" s="1">
        <v>2024.0</v>
      </c>
      <c r="AV659" s="1">
        <v>97.0</v>
      </c>
      <c r="AW659" s="1">
        <v>1.0</v>
      </c>
      <c r="AX659" s="1" t="s">
        <v>74</v>
      </c>
      <c r="AY659" s="1" t="s">
        <v>74</v>
      </c>
      <c r="AZ659" s="1" t="s">
        <v>74</v>
      </c>
      <c r="BA659" s="1" t="s">
        <v>74</v>
      </c>
      <c r="BB659" s="1" t="s">
        <v>74</v>
      </c>
      <c r="BC659" s="1" t="s">
        <v>74</v>
      </c>
      <c r="BD659" s="1">
        <v>7.0</v>
      </c>
      <c r="BE659" s="1" t="s">
        <v>6712</v>
      </c>
      <c r="BF659" s="2" t="str">
        <f>HYPERLINK("http://dx.doi.org/10.1186/s40693-024-00130-y","http://dx.doi.org/10.1186/s40693-024-00130-y")</f>
        <v>http://dx.doi.org/10.1186/s40693-024-00130-y</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6713</v>
      </c>
      <c r="BT659" s="1" t="str">
        <f>HYPERLINK("https%3A%2F%2Fwww.webofscience.com%2Fwos%2Fwoscc%2Ffull-record%2FWOS:001285779200001","View Full Record in Web of Science")</f>
        <v>View Full Record in Web of Science</v>
      </c>
    </row>
    <row r="660" ht="12.75" customHeight="1">
      <c r="A660" s="1" t="s">
        <v>72</v>
      </c>
      <c r="B660" s="1" t="s">
        <v>6714</v>
      </c>
      <c r="C660" s="1" t="s">
        <v>74</v>
      </c>
      <c r="D660" s="1" t="s">
        <v>74</v>
      </c>
      <c r="E660" s="1" t="s">
        <v>74</v>
      </c>
      <c r="F660" s="1" t="s">
        <v>6715</v>
      </c>
      <c r="G660" s="1" t="s">
        <v>74</v>
      </c>
      <c r="H660" s="1" t="s">
        <v>74</v>
      </c>
      <c r="I660" s="1" t="s">
        <v>6716</v>
      </c>
      <c r="J660" s="1" t="s">
        <v>3772</v>
      </c>
      <c r="K660" s="1" t="s">
        <v>74</v>
      </c>
      <c r="L660" s="1" t="s">
        <v>74</v>
      </c>
      <c r="M660" s="1" t="s">
        <v>74</v>
      </c>
      <c r="N660" s="1" t="s">
        <v>74</v>
      </c>
      <c r="O660" s="1" t="s">
        <v>74</v>
      </c>
      <c r="P660" s="1" t="s">
        <v>74</v>
      </c>
      <c r="Q660" s="1" t="s">
        <v>74</v>
      </c>
      <c r="R660" s="1" t="s">
        <v>74</v>
      </c>
      <c r="S660" s="1" t="s">
        <v>74</v>
      </c>
      <c r="T660" s="1" t="s">
        <v>74</v>
      </c>
      <c r="U660" s="1" t="s">
        <v>74</v>
      </c>
      <c r="V660" s="1" t="s">
        <v>6717</v>
      </c>
      <c r="W660" s="1" t="s">
        <v>74</v>
      </c>
      <c r="X660" s="1" t="s">
        <v>74</v>
      </c>
      <c r="Y660" s="1" t="s">
        <v>74</v>
      </c>
      <c r="Z660" s="1" t="s">
        <v>74</v>
      </c>
      <c r="AA660" s="1" t="s">
        <v>6718</v>
      </c>
      <c r="AB660" s="1" t="s">
        <v>6719</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3776</v>
      </c>
      <c r="AP660" s="1" t="s">
        <v>3777</v>
      </c>
      <c r="AQ660" s="1" t="s">
        <v>74</v>
      </c>
      <c r="AR660" s="1" t="s">
        <v>74</v>
      </c>
      <c r="AS660" s="1" t="s">
        <v>74</v>
      </c>
      <c r="AT660" s="1" t="s">
        <v>787</v>
      </c>
      <c r="AU660" s="1">
        <v>2022.0</v>
      </c>
      <c r="AV660" s="1">
        <v>481.0</v>
      </c>
      <c r="AW660" s="1" t="s">
        <v>74</v>
      </c>
      <c r="AX660" s="1" t="s">
        <v>74</v>
      </c>
      <c r="AY660" s="1" t="s">
        <v>74</v>
      </c>
      <c r="AZ660" s="1" t="s">
        <v>74</v>
      </c>
      <c r="BA660" s="1" t="s">
        <v>74</v>
      </c>
      <c r="BB660" s="1">
        <v>134.0</v>
      </c>
      <c r="BC660" s="1">
        <v>143.0</v>
      </c>
      <c r="BD660" s="1" t="s">
        <v>74</v>
      </c>
      <c r="BE660" s="1" t="s">
        <v>6720</v>
      </c>
      <c r="BF660" s="2" t="str">
        <f>HYPERLINK("http://dx.doi.org/10.1016/j.neuroscience.2021.11.046","http://dx.doi.org/10.1016/j.neuroscience.2021.11.046")</f>
        <v>http://dx.doi.org/10.1016/j.neuroscience.2021.11.046</v>
      </c>
      <c r="BG660" s="1" t="s">
        <v>74</v>
      </c>
      <c r="BH660" s="1" t="s">
        <v>74</v>
      </c>
      <c r="BI660" s="1" t="s">
        <v>74</v>
      </c>
      <c r="BJ660" s="1" t="s">
        <v>74</v>
      </c>
      <c r="BK660" s="1" t="s">
        <v>74</v>
      </c>
      <c r="BL660" s="1" t="s">
        <v>74</v>
      </c>
      <c r="BM660" s="1" t="s">
        <v>74</v>
      </c>
      <c r="BN660" s="1">
        <v>3.4864107E7</v>
      </c>
      <c r="BO660" s="1" t="s">
        <v>74</v>
      </c>
      <c r="BP660" s="1" t="s">
        <v>74</v>
      </c>
      <c r="BQ660" s="1" t="s">
        <v>74</v>
      </c>
      <c r="BR660" s="1" t="s">
        <v>74</v>
      </c>
      <c r="BS660" s="1" t="s">
        <v>6721</v>
      </c>
      <c r="BT660" s="1" t="str">
        <f>HYPERLINK("https%3A%2F%2Fwww.webofscience.com%2Fwos%2Fwoscc%2Ffull-record%2FWOS:000789609600011","View Full Record in Web of Science")</f>
        <v>View Full Record in Web of Science</v>
      </c>
    </row>
    <row r="661" ht="12.75" customHeight="1">
      <c r="A661" s="1" t="s">
        <v>72</v>
      </c>
      <c r="B661" s="1" t="s">
        <v>6722</v>
      </c>
      <c r="C661" s="1" t="s">
        <v>74</v>
      </c>
      <c r="D661" s="1" t="s">
        <v>74</v>
      </c>
      <c r="E661" s="1" t="s">
        <v>74</v>
      </c>
      <c r="F661" s="1" t="s">
        <v>6723</v>
      </c>
      <c r="G661" s="1" t="s">
        <v>74</v>
      </c>
      <c r="H661" s="1" t="s">
        <v>74</v>
      </c>
      <c r="I661" s="1" t="s">
        <v>6724</v>
      </c>
      <c r="J661" s="1" t="s">
        <v>147</v>
      </c>
      <c r="K661" s="1" t="s">
        <v>74</v>
      </c>
      <c r="L661" s="1" t="s">
        <v>74</v>
      </c>
      <c r="M661" s="1" t="s">
        <v>74</v>
      </c>
      <c r="N661" s="1" t="s">
        <v>74</v>
      </c>
      <c r="O661" s="1" t="s">
        <v>74</v>
      </c>
      <c r="P661" s="1" t="s">
        <v>74</v>
      </c>
      <c r="Q661" s="1" t="s">
        <v>74</v>
      </c>
      <c r="R661" s="1" t="s">
        <v>74</v>
      </c>
      <c r="S661" s="1" t="s">
        <v>74</v>
      </c>
      <c r="T661" s="1" t="s">
        <v>74</v>
      </c>
      <c r="U661" s="1" t="s">
        <v>74</v>
      </c>
      <c r="V661" s="1" t="s">
        <v>6725</v>
      </c>
      <c r="W661" s="1" t="s">
        <v>74</v>
      </c>
      <c r="X661" s="1" t="s">
        <v>74</v>
      </c>
      <c r="Y661" s="1" t="s">
        <v>74</v>
      </c>
      <c r="Z661" s="1" t="s">
        <v>74</v>
      </c>
      <c r="AA661" s="1" t="s">
        <v>6726</v>
      </c>
      <c r="AB661" s="1" t="s">
        <v>6727</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151</v>
      </c>
      <c r="AP661" s="1" t="s">
        <v>74</v>
      </c>
      <c r="AQ661" s="1" t="s">
        <v>74</v>
      </c>
      <c r="AR661" s="1" t="s">
        <v>74</v>
      </c>
      <c r="AS661" s="1" t="s">
        <v>74</v>
      </c>
      <c r="AT661" s="1" t="s">
        <v>5359</v>
      </c>
      <c r="AU661" s="1">
        <v>2017.0</v>
      </c>
      <c r="AV661" s="1">
        <v>12.0</v>
      </c>
      <c r="AW661" s="1">
        <v>3.0</v>
      </c>
      <c r="AX661" s="1" t="s">
        <v>74</v>
      </c>
      <c r="AY661" s="1" t="s">
        <v>74</v>
      </c>
      <c r="AZ661" s="1" t="s">
        <v>74</v>
      </c>
      <c r="BA661" s="1" t="s">
        <v>74</v>
      </c>
      <c r="BB661" s="1" t="s">
        <v>74</v>
      </c>
      <c r="BC661" s="1" t="s">
        <v>74</v>
      </c>
      <c r="BD661" s="1" t="s">
        <v>6728</v>
      </c>
      <c r="BE661" s="1" t="s">
        <v>6729</v>
      </c>
      <c r="BF661" s="2" t="str">
        <f>HYPERLINK("http://dx.doi.org/10.1371/journal.pone.0173932","http://dx.doi.org/10.1371/journal.pone.0173932")</f>
        <v>http://dx.doi.org/10.1371/journal.pone.0173932</v>
      </c>
      <c r="BG661" s="1" t="s">
        <v>74</v>
      </c>
      <c r="BH661" s="1" t="s">
        <v>74</v>
      </c>
      <c r="BI661" s="1" t="s">
        <v>74</v>
      </c>
      <c r="BJ661" s="1" t="s">
        <v>74</v>
      </c>
      <c r="BK661" s="1" t="s">
        <v>74</v>
      </c>
      <c r="BL661" s="1" t="s">
        <v>74</v>
      </c>
      <c r="BM661" s="1" t="s">
        <v>74</v>
      </c>
      <c r="BN661" s="1">
        <v>2.8296952E7</v>
      </c>
      <c r="BO661" s="1" t="s">
        <v>74</v>
      </c>
      <c r="BP661" s="1" t="s">
        <v>74</v>
      </c>
      <c r="BQ661" s="1" t="s">
        <v>74</v>
      </c>
      <c r="BR661" s="1" t="s">
        <v>74</v>
      </c>
      <c r="BS661" s="1" t="s">
        <v>6730</v>
      </c>
      <c r="BT661" s="1" t="str">
        <f>HYPERLINK("https%3A%2F%2Fwww.webofscience.com%2Fwos%2Fwoscc%2Ffull-record%2FWOS:000396311700079","View Full Record in Web of Science")</f>
        <v>View Full Record in Web of Science</v>
      </c>
    </row>
    <row r="662" ht="12.75" customHeight="1">
      <c r="A662" s="1" t="s">
        <v>72</v>
      </c>
      <c r="B662" s="1" t="s">
        <v>6731</v>
      </c>
      <c r="C662" s="1" t="s">
        <v>74</v>
      </c>
      <c r="D662" s="1" t="s">
        <v>74</v>
      </c>
      <c r="E662" s="1" t="s">
        <v>74</v>
      </c>
      <c r="F662" s="1" t="s">
        <v>6732</v>
      </c>
      <c r="G662" s="1" t="s">
        <v>74</v>
      </c>
      <c r="H662" s="1" t="s">
        <v>74</v>
      </c>
      <c r="I662" s="1" t="s">
        <v>6733</v>
      </c>
      <c r="J662" s="1" t="s">
        <v>4024</v>
      </c>
      <c r="K662" s="1" t="s">
        <v>74</v>
      </c>
      <c r="L662" s="1" t="s">
        <v>74</v>
      </c>
      <c r="M662" s="1" t="s">
        <v>74</v>
      </c>
      <c r="N662" s="1" t="s">
        <v>74</v>
      </c>
      <c r="O662" s="1" t="s">
        <v>74</v>
      </c>
      <c r="P662" s="1" t="s">
        <v>74</v>
      </c>
      <c r="Q662" s="1" t="s">
        <v>74</v>
      </c>
      <c r="R662" s="1" t="s">
        <v>74</v>
      </c>
      <c r="S662" s="1" t="s">
        <v>74</v>
      </c>
      <c r="T662" s="1" t="s">
        <v>74</v>
      </c>
      <c r="U662" s="1" t="s">
        <v>74</v>
      </c>
      <c r="V662" s="1" t="s">
        <v>6734</v>
      </c>
      <c r="W662" s="1" t="s">
        <v>74</v>
      </c>
      <c r="X662" s="1" t="s">
        <v>74</v>
      </c>
      <c r="Y662" s="1" t="s">
        <v>74</v>
      </c>
      <c r="Z662" s="1" t="s">
        <v>74</v>
      </c>
      <c r="AA662" s="1" t="s">
        <v>6735</v>
      </c>
      <c r="AB662" s="1" t="s">
        <v>6736</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4028</v>
      </c>
      <c r="AP662" s="1" t="s">
        <v>4029</v>
      </c>
      <c r="AQ662" s="1" t="s">
        <v>74</v>
      </c>
      <c r="AR662" s="1" t="s">
        <v>74</v>
      </c>
      <c r="AS662" s="1" t="s">
        <v>74</v>
      </c>
      <c r="AT662" s="1" t="s">
        <v>447</v>
      </c>
      <c r="AU662" s="1">
        <v>2010.0</v>
      </c>
      <c r="AV662" s="1">
        <v>5.0</v>
      </c>
      <c r="AW662" s="1">
        <v>6.0</v>
      </c>
      <c r="AX662" s="1" t="s">
        <v>74</v>
      </c>
      <c r="AY662" s="1" t="s">
        <v>74</v>
      </c>
      <c r="AZ662" s="1" t="s">
        <v>74</v>
      </c>
      <c r="BA662" s="1" t="s">
        <v>74</v>
      </c>
      <c r="BB662" s="1">
        <v>897.0</v>
      </c>
      <c r="BC662" s="1">
        <v>913.0</v>
      </c>
      <c r="BD662" s="1" t="s">
        <v>74</v>
      </c>
      <c r="BE662" s="1" t="s">
        <v>6737</v>
      </c>
      <c r="BF662" s="2" t="str">
        <f>HYPERLINK("http://dx.doi.org/10.2217/NNM.10.74","http://dx.doi.org/10.2217/NNM.10.74")</f>
        <v>http://dx.doi.org/10.2217/NNM.10.74</v>
      </c>
      <c r="BG662" s="1" t="s">
        <v>74</v>
      </c>
      <c r="BH662" s="1" t="s">
        <v>74</v>
      </c>
      <c r="BI662" s="1" t="s">
        <v>74</v>
      </c>
      <c r="BJ662" s="1" t="s">
        <v>74</v>
      </c>
      <c r="BK662" s="1" t="s">
        <v>74</v>
      </c>
      <c r="BL662" s="1" t="s">
        <v>74</v>
      </c>
      <c r="BM662" s="1" t="s">
        <v>74</v>
      </c>
      <c r="BN662" s="1">
        <v>2.0735225E7</v>
      </c>
      <c r="BO662" s="1" t="s">
        <v>74</v>
      </c>
      <c r="BP662" s="1" t="s">
        <v>74</v>
      </c>
      <c r="BQ662" s="1" t="s">
        <v>74</v>
      </c>
      <c r="BR662" s="1" t="s">
        <v>74</v>
      </c>
      <c r="BS662" s="1" t="s">
        <v>6738</v>
      </c>
      <c r="BT662" s="1" t="str">
        <f>HYPERLINK("https%3A%2F%2Fwww.webofscience.com%2Fwos%2Fwoscc%2Ffull-record%2FWOS:000282264800010","View Full Record in Web of Science")</f>
        <v>View Full Record in Web of Science</v>
      </c>
    </row>
    <row r="663" ht="12.75" customHeight="1">
      <c r="A663" s="1" t="s">
        <v>72</v>
      </c>
      <c r="B663" s="1" t="s">
        <v>6739</v>
      </c>
      <c r="C663" s="1" t="s">
        <v>74</v>
      </c>
      <c r="D663" s="1" t="s">
        <v>74</v>
      </c>
      <c r="E663" s="1" t="s">
        <v>74</v>
      </c>
      <c r="F663" s="1" t="s">
        <v>6740</v>
      </c>
      <c r="G663" s="1" t="s">
        <v>74</v>
      </c>
      <c r="H663" s="1" t="s">
        <v>74</v>
      </c>
      <c r="I663" s="1" t="s">
        <v>6741</v>
      </c>
      <c r="J663" s="1" t="s">
        <v>6742</v>
      </c>
      <c r="K663" s="1" t="s">
        <v>74</v>
      </c>
      <c r="L663" s="1" t="s">
        <v>74</v>
      </c>
      <c r="M663" s="1" t="s">
        <v>74</v>
      </c>
      <c r="N663" s="1" t="s">
        <v>74</v>
      </c>
      <c r="O663" s="1" t="s">
        <v>74</v>
      </c>
      <c r="P663" s="1" t="s">
        <v>74</v>
      </c>
      <c r="Q663" s="1" t="s">
        <v>74</v>
      </c>
      <c r="R663" s="1" t="s">
        <v>74</v>
      </c>
      <c r="S663" s="1" t="s">
        <v>74</v>
      </c>
      <c r="T663" s="1" t="s">
        <v>74</v>
      </c>
      <c r="U663" s="1" t="s">
        <v>74</v>
      </c>
      <c r="V663" s="1" t="s">
        <v>6743</v>
      </c>
      <c r="W663" s="1" t="s">
        <v>74</v>
      </c>
      <c r="X663" s="1" t="s">
        <v>74</v>
      </c>
      <c r="Y663" s="1" t="s">
        <v>74</v>
      </c>
      <c r="Z663" s="1" t="s">
        <v>74</v>
      </c>
      <c r="AA663" s="1" t="s">
        <v>6744</v>
      </c>
      <c r="AB663" s="1" t="s">
        <v>6745</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6746</v>
      </c>
      <c r="AP663" s="1" t="s">
        <v>6747</v>
      </c>
      <c r="AQ663" s="1" t="s">
        <v>74</v>
      </c>
      <c r="AR663" s="1" t="s">
        <v>74</v>
      </c>
      <c r="AS663" s="1" t="s">
        <v>74</v>
      </c>
      <c r="AT663" s="1" t="s">
        <v>214</v>
      </c>
      <c r="AU663" s="1">
        <v>2024.0</v>
      </c>
      <c r="AV663" s="1">
        <v>54.0</v>
      </c>
      <c r="AW663" s="1">
        <v>4.0</v>
      </c>
      <c r="AX663" s="1" t="s">
        <v>74</v>
      </c>
      <c r="AY663" s="1" t="s">
        <v>74</v>
      </c>
      <c r="AZ663" s="1" t="s">
        <v>74</v>
      </c>
      <c r="BA663" s="1" t="s">
        <v>74</v>
      </c>
      <c r="BB663" s="1">
        <v>3417.0</v>
      </c>
      <c r="BC663" s="1">
        <v>3428.0</v>
      </c>
      <c r="BD663" s="1" t="s">
        <v>74</v>
      </c>
      <c r="BE663" s="1" t="s">
        <v>6748</v>
      </c>
      <c r="BF663" s="2" t="str">
        <f>HYPERLINK("http://dx.doi.org/10.1007/s10489-023-04991-w","http://dx.doi.org/10.1007/s10489-023-04991-w")</f>
        <v>http://dx.doi.org/10.1007/s10489-023-04991-w</v>
      </c>
      <c r="BG663" s="1" t="s">
        <v>74</v>
      </c>
      <c r="BH663" s="1" t="s">
        <v>1329</v>
      </c>
      <c r="BI663" s="1" t="s">
        <v>74</v>
      </c>
      <c r="BJ663" s="1" t="s">
        <v>74</v>
      </c>
      <c r="BK663" s="1" t="s">
        <v>74</v>
      </c>
      <c r="BL663" s="1" t="s">
        <v>74</v>
      </c>
      <c r="BM663" s="1" t="s">
        <v>74</v>
      </c>
      <c r="BN663" s="1" t="s">
        <v>74</v>
      </c>
      <c r="BO663" s="1" t="s">
        <v>74</v>
      </c>
      <c r="BP663" s="1" t="s">
        <v>74</v>
      </c>
      <c r="BQ663" s="1" t="s">
        <v>74</v>
      </c>
      <c r="BR663" s="1" t="s">
        <v>74</v>
      </c>
      <c r="BS663" s="1" t="s">
        <v>6749</v>
      </c>
      <c r="BT663" s="1" t="str">
        <f>HYPERLINK("https%3A%2F%2Fwww.webofscience.com%2Fwos%2Fwoscc%2Ffull-record%2FWOS:001168497700002","View Full Record in Web of Science")</f>
        <v>View Full Record in Web of Science</v>
      </c>
    </row>
    <row r="664" ht="12.75" customHeight="1">
      <c r="A664" s="1" t="s">
        <v>72</v>
      </c>
      <c r="B664" s="1" t="s">
        <v>6750</v>
      </c>
      <c r="C664" s="1" t="s">
        <v>74</v>
      </c>
      <c r="D664" s="1" t="s">
        <v>74</v>
      </c>
      <c r="E664" s="1" t="s">
        <v>74</v>
      </c>
      <c r="F664" s="1" t="s">
        <v>6751</v>
      </c>
      <c r="G664" s="1" t="s">
        <v>74</v>
      </c>
      <c r="H664" s="1" t="s">
        <v>74</v>
      </c>
      <c r="I664" s="1" t="s">
        <v>6752</v>
      </c>
      <c r="J664" s="1" t="s">
        <v>2006</v>
      </c>
      <c r="K664" s="1" t="s">
        <v>74</v>
      </c>
      <c r="L664" s="1" t="s">
        <v>74</v>
      </c>
      <c r="M664" s="1" t="s">
        <v>74</v>
      </c>
      <c r="N664" s="1" t="s">
        <v>74</v>
      </c>
      <c r="O664" s="1" t="s">
        <v>74</v>
      </c>
      <c r="P664" s="1" t="s">
        <v>74</v>
      </c>
      <c r="Q664" s="1" t="s">
        <v>74</v>
      </c>
      <c r="R664" s="1" t="s">
        <v>74</v>
      </c>
      <c r="S664" s="1" t="s">
        <v>74</v>
      </c>
      <c r="T664" s="1" t="s">
        <v>74</v>
      </c>
      <c r="U664" s="1" t="s">
        <v>74</v>
      </c>
      <c r="V664" s="1" t="s">
        <v>6753</v>
      </c>
      <c r="W664" s="1" t="s">
        <v>74</v>
      </c>
      <c r="X664" s="1" t="s">
        <v>74</v>
      </c>
      <c r="Y664" s="1" t="s">
        <v>74</v>
      </c>
      <c r="Z664" s="1" t="s">
        <v>74</v>
      </c>
      <c r="AA664" s="1" t="s">
        <v>74</v>
      </c>
      <c r="AB664" s="1" t="s">
        <v>74</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2009</v>
      </c>
      <c r="AP664" s="1" t="s">
        <v>74</v>
      </c>
      <c r="AQ664" s="1" t="s">
        <v>74</v>
      </c>
      <c r="AR664" s="1" t="s">
        <v>74</v>
      </c>
      <c r="AS664" s="1" t="s">
        <v>74</v>
      </c>
      <c r="AT664" s="1" t="s">
        <v>745</v>
      </c>
      <c r="AU664" s="1">
        <v>2022.0</v>
      </c>
      <c r="AV664" s="1">
        <v>47.0</v>
      </c>
      <c r="AW664" s="1">
        <v>7.0</v>
      </c>
      <c r="AX664" s="1" t="s">
        <v>74</v>
      </c>
      <c r="AY664" s="1" t="s">
        <v>74</v>
      </c>
      <c r="AZ664" s="1" t="s">
        <v>74</v>
      </c>
      <c r="BA664" s="1" t="s">
        <v>74</v>
      </c>
      <c r="BB664" s="1">
        <v>284.0</v>
      </c>
      <c r="BC664" s="1">
        <v>292.0</v>
      </c>
      <c r="BD664" s="1" t="s">
        <v>74</v>
      </c>
      <c r="BE664" s="1" t="s">
        <v>74</v>
      </c>
      <c r="BF664" s="1" t="s">
        <v>74</v>
      </c>
      <c r="BG664" s="1" t="s">
        <v>74</v>
      </c>
      <c r="BH664" s="1" t="s">
        <v>74</v>
      </c>
      <c r="BI664" s="1" t="s">
        <v>74</v>
      </c>
      <c r="BJ664" s="1" t="s">
        <v>74</v>
      </c>
      <c r="BK664" s="1" t="s">
        <v>74</v>
      </c>
      <c r="BL664" s="1" t="s">
        <v>74</v>
      </c>
      <c r="BM664" s="1" t="s">
        <v>74</v>
      </c>
      <c r="BN664" s="1" t="s">
        <v>74</v>
      </c>
      <c r="BO664" s="1" t="s">
        <v>74</v>
      </c>
      <c r="BP664" s="1" t="s">
        <v>74</v>
      </c>
      <c r="BQ664" s="1" t="s">
        <v>74</v>
      </c>
      <c r="BR664" s="1" t="s">
        <v>74</v>
      </c>
      <c r="BS664" s="1" t="s">
        <v>6754</v>
      </c>
      <c r="BT664" s="1" t="str">
        <f>HYPERLINK("https%3A%2F%2Fwww.webofscience.com%2Fwos%2Fwoscc%2Ffull-record%2FWOS:000837995800006","View Full Record in Web of Science")</f>
        <v>View Full Record in Web of Science</v>
      </c>
    </row>
    <row r="665" ht="12.75" customHeight="1">
      <c r="A665" s="1" t="s">
        <v>72</v>
      </c>
      <c r="B665" s="1" t="s">
        <v>6755</v>
      </c>
      <c r="C665" s="1" t="s">
        <v>74</v>
      </c>
      <c r="D665" s="1" t="s">
        <v>74</v>
      </c>
      <c r="E665" s="1" t="s">
        <v>74</v>
      </c>
      <c r="F665" s="1" t="s">
        <v>6756</v>
      </c>
      <c r="G665" s="1" t="s">
        <v>74</v>
      </c>
      <c r="H665" s="1" t="s">
        <v>74</v>
      </c>
      <c r="I665" s="1" t="s">
        <v>6757</v>
      </c>
      <c r="J665" s="1" t="s">
        <v>6758</v>
      </c>
      <c r="K665" s="1" t="s">
        <v>74</v>
      </c>
      <c r="L665" s="1" t="s">
        <v>74</v>
      </c>
      <c r="M665" s="1" t="s">
        <v>74</v>
      </c>
      <c r="N665" s="1" t="s">
        <v>74</v>
      </c>
      <c r="O665" s="1" t="s">
        <v>6759</v>
      </c>
      <c r="P665" s="1" t="s">
        <v>6760</v>
      </c>
      <c r="Q665" s="1" t="s">
        <v>6761</v>
      </c>
      <c r="R665" s="1" t="s">
        <v>74</v>
      </c>
      <c r="S665" s="1" t="s">
        <v>74</v>
      </c>
      <c r="T665" s="1" t="s">
        <v>74</v>
      </c>
      <c r="U665" s="1" t="s">
        <v>74</v>
      </c>
      <c r="V665" s="1" t="s">
        <v>6762</v>
      </c>
      <c r="W665" s="1" t="s">
        <v>74</v>
      </c>
      <c r="X665" s="1" t="s">
        <v>74</v>
      </c>
      <c r="Y665" s="1" t="s">
        <v>74</v>
      </c>
      <c r="Z665" s="1" t="s">
        <v>74</v>
      </c>
      <c r="AA665" s="1" t="s">
        <v>6763</v>
      </c>
      <c r="AB665" s="1" t="s">
        <v>6764</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6765</v>
      </c>
      <c r="AP665" s="1" t="s">
        <v>6766</v>
      </c>
      <c r="AQ665" s="1" t="s">
        <v>74</v>
      </c>
      <c r="AR665" s="1" t="s">
        <v>74</v>
      </c>
      <c r="AS665" s="1" t="s">
        <v>74</v>
      </c>
      <c r="AT665" s="1" t="s">
        <v>141</v>
      </c>
      <c r="AU665" s="1">
        <v>2018.0</v>
      </c>
      <c r="AV665" s="1">
        <v>186.0</v>
      </c>
      <c r="AW665" s="1" t="s">
        <v>74</v>
      </c>
      <c r="AX665" s="1" t="s">
        <v>74</v>
      </c>
      <c r="AY665" s="1" t="s">
        <v>74</v>
      </c>
      <c r="AZ665" s="1" t="s">
        <v>74</v>
      </c>
      <c r="BA665" s="1" t="s">
        <v>74</v>
      </c>
      <c r="BB665" s="1">
        <v>294.0</v>
      </c>
      <c r="BC665" s="1">
        <v>300.0</v>
      </c>
      <c r="BD665" s="1" t="s">
        <v>74</v>
      </c>
      <c r="BE665" s="1" t="s">
        <v>6767</v>
      </c>
      <c r="BF665" s="2" t="str">
        <f>HYPERLINK("http://dx.doi.org/10.1016/j.jinorgbio.2018.06.015","http://dx.doi.org/10.1016/j.jinorgbio.2018.06.015")</f>
        <v>http://dx.doi.org/10.1016/j.jinorgbio.2018.06.015</v>
      </c>
      <c r="BG665" s="1" t="s">
        <v>74</v>
      </c>
      <c r="BH665" s="1" t="s">
        <v>74</v>
      </c>
      <c r="BI665" s="1" t="s">
        <v>74</v>
      </c>
      <c r="BJ665" s="1" t="s">
        <v>74</v>
      </c>
      <c r="BK665" s="1" t="s">
        <v>74</v>
      </c>
      <c r="BL665" s="1" t="s">
        <v>74</v>
      </c>
      <c r="BM665" s="1" t="s">
        <v>74</v>
      </c>
      <c r="BN665" s="1">
        <v>2.9996087E7</v>
      </c>
      <c r="BO665" s="1" t="s">
        <v>74</v>
      </c>
      <c r="BP665" s="1" t="s">
        <v>74</v>
      </c>
      <c r="BQ665" s="1" t="s">
        <v>74</v>
      </c>
      <c r="BR665" s="1" t="s">
        <v>74</v>
      </c>
      <c r="BS665" s="1" t="s">
        <v>6768</v>
      </c>
      <c r="BT665" s="1" t="str">
        <f>HYPERLINK("https%3A%2F%2Fwww.webofscience.com%2Fwos%2Fwoscc%2Ffull-record%2FWOS:000441704600032","View Full Record in Web of Science")</f>
        <v>View Full Record in Web of Science</v>
      </c>
    </row>
    <row r="666" ht="12.75" customHeight="1">
      <c r="A666" s="1" t="s">
        <v>72</v>
      </c>
      <c r="B666" s="1" t="s">
        <v>6769</v>
      </c>
      <c r="C666" s="1" t="s">
        <v>74</v>
      </c>
      <c r="D666" s="1" t="s">
        <v>74</v>
      </c>
      <c r="E666" s="1" t="s">
        <v>74</v>
      </c>
      <c r="F666" s="1" t="s">
        <v>6770</v>
      </c>
      <c r="G666" s="1" t="s">
        <v>74</v>
      </c>
      <c r="H666" s="1" t="s">
        <v>74</v>
      </c>
      <c r="I666" s="1" t="s">
        <v>6771</v>
      </c>
      <c r="J666" s="1" t="s">
        <v>781</v>
      </c>
      <c r="K666" s="1" t="s">
        <v>74</v>
      </c>
      <c r="L666" s="1" t="s">
        <v>74</v>
      </c>
      <c r="M666" s="1" t="s">
        <v>74</v>
      </c>
      <c r="N666" s="1" t="s">
        <v>74</v>
      </c>
      <c r="O666" s="1" t="s">
        <v>74</v>
      </c>
      <c r="P666" s="1" t="s">
        <v>74</v>
      </c>
      <c r="Q666" s="1" t="s">
        <v>74</v>
      </c>
      <c r="R666" s="1" t="s">
        <v>74</v>
      </c>
      <c r="S666" s="1" t="s">
        <v>74</v>
      </c>
      <c r="T666" s="1" t="s">
        <v>74</v>
      </c>
      <c r="U666" s="1" t="s">
        <v>74</v>
      </c>
      <c r="V666" s="1" t="s">
        <v>6772</v>
      </c>
      <c r="W666" s="1" t="s">
        <v>74</v>
      </c>
      <c r="X666" s="1" t="s">
        <v>74</v>
      </c>
      <c r="Y666" s="1" t="s">
        <v>74</v>
      </c>
      <c r="Z666" s="1" t="s">
        <v>74</v>
      </c>
      <c r="AA666" s="1" t="s">
        <v>6773</v>
      </c>
      <c r="AB666" s="1" t="s">
        <v>6774</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785</v>
      </c>
      <c r="AP666" s="1" t="s">
        <v>786</v>
      </c>
      <c r="AQ666" s="1" t="s">
        <v>74</v>
      </c>
      <c r="AR666" s="1" t="s">
        <v>74</v>
      </c>
      <c r="AS666" s="1" t="s">
        <v>74</v>
      </c>
      <c r="AT666" s="1" t="s">
        <v>141</v>
      </c>
      <c r="AU666" s="1">
        <v>2020.0</v>
      </c>
      <c r="AV666" s="1">
        <v>264.0</v>
      </c>
      <c r="AW666" s="1" t="s">
        <v>74</v>
      </c>
      <c r="AX666" s="1" t="s">
        <v>74</v>
      </c>
      <c r="AY666" s="1" t="s">
        <v>74</v>
      </c>
      <c r="AZ666" s="1" t="s">
        <v>74</v>
      </c>
      <c r="BA666" s="1" t="s">
        <v>74</v>
      </c>
      <c r="BB666" s="1" t="s">
        <v>74</v>
      </c>
      <c r="BC666" s="1" t="s">
        <v>74</v>
      </c>
      <c r="BD666" s="1">
        <v>114682.0</v>
      </c>
      <c r="BE666" s="1" t="s">
        <v>6775</v>
      </c>
      <c r="BF666" s="2" t="str">
        <f>HYPERLINK("http://dx.doi.org/10.1016/j.envpol.2020.114682","http://dx.doi.org/10.1016/j.envpol.2020.114682")</f>
        <v>http://dx.doi.org/10.1016/j.envpol.2020.114682</v>
      </c>
      <c r="BG666" s="1" t="s">
        <v>74</v>
      </c>
      <c r="BH666" s="1" t="s">
        <v>74</v>
      </c>
      <c r="BI666" s="1" t="s">
        <v>74</v>
      </c>
      <c r="BJ666" s="1" t="s">
        <v>74</v>
      </c>
      <c r="BK666" s="1" t="s">
        <v>74</v>
      </c>
      <c r="BL666" s="1" t="s">
        <v>74</v>
      </c>
      <c r="BM666" s="1" t="s">
        <v>74</v>
      </c>
      <c r="BN666" s="1">
        <v>3.23804E7</v>
      </c>
      <c r="BO666" s="1" t="s">
        <v>74</v>
      </c>
      <c r="BP666" s="1" t="s">
        <v>74</v>
      </c>
      <c r="BQ666" s="1" t="s">
        <v>74</v>
      </c>
      <c r="BR666" s="1" t="s">
        <v>74</v>
      </c>
      <c r="BS666" s="1" t="s">
        <v>6776</v>
      </c>
      <c r="BT666" s="1" t="str">
        <f>HYPERLINK("https%3A%2F%2Fwww.webofscience.com%2Fwos%2Fwoscc%2Ffull-record%2FWOS:000540263400038","View Full Record in Web of Science")</f>
        <v>View Full Record in Web of Science</v>
      </c>
    </row>
    <row r="667" ht="12.75" customHeight="1">
      <c r="A667" s="1" t="s">
        <v>72</v>
      </c>
      <c r="B667" s="1" t="s">
        <v>6777</v>
      </c>
      <c r="C667" s="1" t="s">
        <v>74</v>
      </c>
      <c r="D667" s="1" t="s">
        <v>74</v>
      </c>
      <c r="E667" s="1" t="s">
        <v>74</v>
      </c>
      <c r="F667" s="1" t="s">
        <v>6778</v>
      </c>
      <c r="G667" s="1" t="s">
        <v>74</v>
      </c>
      <c r="H667" s="1" t="s">
        <v>74</v>
      </c>
      <c r="I667" s="1" t="s">
        <v>6779</v>
      </c>
      <c r="J667" s="1" t="s">
        <v>6780</v>
      </c>
      <c r="K667" s="1" t="s">
        <v>74</v>
      </c>
      <c r="L667" s="1" t="s">
        <v>74</v>
      </c>
      <c r="M667" s="1" t="s">
        <v>74</v>
      </c>
      <c r="N667" s="1" t="s">
        <v>74</v>
      </c>
      <c r="O667" s="1" t="s">
        <v>74</v>
      </c>
      <c r="P667" s="1" t="s">
        <v>74</v>
      </c>
      <c r="Q667" s="1" t="s">
        <v>74</v>
      </c>
      <c r="R667" s="1" t="s">
        <v>74</v>
      </c>
      <c r="S667" s="1" t="s">
        <v>74</v>
      </c>
      <c r="T667" s="1" t="s">
        <v>74</v>
      </c>
      <c r="U667" s="1" t="s">
        <v>74</v>
      </c>
      <c r="V667" s="1" t="s">
        <v>6781</v>
      </c>
      <c r="W667" s="1" t="s">
        <v>74</v>
      </c>
      <c r="X667" s="1" t="s">
        <v>74</v>
      </c>
      <c r="Y667" s="1" t="s">
        <v>74</v>
      </c>
      <c r="Z667" s="1" t="s">
        <v>74</v>
      </c>
      <c r="AA667" s="1" t="s">
        <v>6782</v>
      </c>
      <c r="AB667" s="1" t="s">
        <v>6783</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6784</v>
      </c>
      <c r="AP667" s="1" t="s">
        <v>6785</v>
      </c>
      <c r="AQ667" s="1" t="s">
        <v>74</v>
      </c>
      <c r="AR667" s="1" t="s">
        <v>74</v>
      </c>
      <c r="AS667" s="1" t="s">
        <v>74</v>
      </c>
      <c r="AT667" s="1" t="s">
        <v>723</v>
      </c>
      <c r="AU667" s="1">
        <v>2020.0</v>
      </c>
      <c r="AV667" s="1">
        <v>198.0</v>
      </c>
      <c r="AW667" s="1" t="s">
        <v>74</v>
      </c>
      <c r="AX667" s="1" t="s">
        <v>74</v>
      </c>
      <c r="AY667" s="1" t="s">
        <v>74</v>
      </c>
      <c r="AZ667" s="1" t="s">
        <v>74</v>
      </c>
      <c r="BA667" s="1" t="s">
        <v>74</v>
      </c>
      <c r="BB667" s="1" t="s">
        <v>74</v>
      </c>
      <c r="BC667" s="1" t="s">
        <v>74</v>
      </c>
      <c r="BD667" s="1">
        <v>112368.0</v>
      </c>
      <c r="BE667" s="1" t="s">
        <v>6786</v>
      </c>
      <c r="BF667" s="2" t="str">
        <f>HYPERLINK("http://dx.doi.org/10.1016/j.ejmech.2020.112368","http://dx.doi.org/10.1016/j.ejmech.2020.112368")</f>
        <v>http://dx.doi.org/10.1016/j.ejmech.2020.112368</v>
      </c>
      <c r="BG667" s="1" t="s">
        <v>74</v>
      </c>
      <c r="BH667" s="1" t="s">
        <v>74</v>
      </c>
      <c r="BI667" s="1" t="s">
        <v>74</v>
      </c>
      <c r="BJ667" s="1" t="s">
        <v>74</v>
      </c>
      <c r="BK667" s="1" t="s">
        <v>74</v>
      </c>
      <c r="BL667" s="1" t="s">
        <v>74</v>
      </c>
      <c r="BM667" s="1" t="s">
        <v>74</v>
      </c>
      <c r="BN667" s="1">
        <v>3.2388114E7</v>
      </c>
      <c r="BO667" s="1" t="s">
        <v>74</v>
      </c>
      <c r="BP667" s="1" t="s">
        <v>74</v>
      </c>
      <c r="BQ667" s="1" t="s">
        <v>74</v>
      </c>
      <c r="BR667" s="1" t="s">
        <v>74</v>
      </c>
      <c r="BS667" s="1" t="s">
        <v>6787</v>
      </c>
      <c r="BT667" s="1" t="str">
        <f>HYPERLINK("https%3A%2F%2Fwww.webofscience.com%2Fwos%2Fwoscc%2Ffull-record%2FWOS:000539425800016","View Full Record in Web of Science")</f>
        <v>View Full Record in Web of Science</v>
      </c>
    </row>
    <row r="668" ht="12.75" customHeight="1">
      <c r="A668" s="1" t="s">
        <v>72</v>
      </c>
      <c r="B668" s="1" t="s">
        <v>6637</v>
      </c>
      <c r="C668" s="1" t="s">
        <v>74</v>
      </c>
      <c r="D668" s="1" t="s">
        <v>74</v>
      </c>
      <c r="E668" s="1" t="s">
        <v>74</v>
      </c>
      <c r="F668" s="1" t="s">
        <v>6638</v>
      </c>
      <c r="G668" s="1" t="s">
        <v>74</v>
      </c>
      <c r="H668" s="1" t="s">
        <v>74</v>
      </c>
      <c r="I668" s="1" t="s">
        <v>6788</v>
      </c>
      <c r="J668" s="1" t="s">
        <v>1727</v>
      </c>
      <c r="K668" s="1" t="s">
        <v>74</v>
      </c>
      <c r="L668" s="1" t="s">
        <v>74</v>
      </c>
      <c r="M668" s="1" t="s">
        <v>74</v>
      </c>
      <c r="N668" s="1" t="s">
        <v>74</v>
      </c>
      <c r="O668" s="1" t="s">
        <v>74</v>
      </c>
      <c r="P668" s="1" t="s">
        <v>74</v>
      </c>
      <c r="Q668" s="1" t="s">
        <v>74</v>
      </c>
      <c r="R668" s="1" t="s">
        <v>74</v>
      </c>
      <c r="S668" s="1" t="s">
        <v>74</v>
      </c>
      <c r="T668" s="1" t="s">
        <v>74</v>
      </c>
      <c r="U668" s="1" t="s">
        <v>74</v>
      </c>
      <c r="V668" s="1" t="s">
        <v>6789</v>
      </c>
      <c r="W668" s="1" t="s">
        <v>74</v>
      </c>
      <c r="X668" s="1" t="s">
        <v>74</v>
      </c>
      <c r="Y668" s="1" t="s">
        <v>74</v>
      </c>
      <c r="Z668" s="1" t="s">
        <v>74</v>
      </c>
      <c r="AA668" s="1" t="s">
        <v>6790</v>
      </c>
      <c r="AB668" s="1" t="s">
        <v>6791</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1731</v>
      </c>
      <c r="AP668" s="1" t="s">
        <v>1732</v>
      </c>
      <c r="AQ668" s="1" t="s">
        <v>74</v>
      </c>
      <c r="AR668" s="1" t="s">
        <v>74</v>
      </c>
      <c r="AS668" s="1" t="s">
        <v>74</v>
      </c>
      <c r="AT668" s="1" t="s">
        <v>214</v>
      </c>
      <c r="AU668" s="1">
        <v>2021.0</v>
      </c>
      <c r="AV668" s="1">
        <v>51.0</v>
      </c>
      <c r="AW668" s="1">
        <v>2.0</v>
      </c>
      <c r="AX668" s="1" t="s">
        <v>74</v>
      </c>
      <c r="AY668" s="1" t="s">
        <v>74</v>
      </c>
      <c r="AZ668" s="1" t="s">
        <v>74</v>
      </c>
      <c r="BA668" s="1" t="s">
        <v>74</v>
      </c>
      <c r="BB668" s="1">
        <v>225.0</v>
      </c>
      <c r="BC668" s="1">
        <v>242.0</v>
      </c>
      <c r="BD668" s="1" t="s">
        <v>74</v>
      </c>
      <c r="BE668" s="1" t="s">
        <v>6792</v>
      </c>
      <c r="BF668" s="2" t="str">
        <f>HYPERLINK("http://dx.doi.org/10.1007/s40279-020-01367-9","http://dx.doi.org/10.1007/s40279-020-01367-9")</f>
        <v>http://dx.doi.org/10.1007/s40279-020-01367-9</v>
      </c>
      <c r="BG668" s="1" t="s">
        <v>74</v>
      </c>
      <c r="BH668" s="1" t="s">
        <v>191</v>
      </c>
      <c r="BI668" s="1" t="s">
        <v>74</v>
      </c>
      <c r="BJ668" s="1" t="s">
        <v>74</v>
      </c>
      <c r="BK668" s="1" t="s">
        <v>74</v>
      </c>
      <c r="BL668" s="1" t="s">
        <v>74</v>
      </c>
      <c r="BM668" s="1" t="s">
        <v>74</v>
      </c>
      <c r="BN668" s="1">
        <v>3.3104995E7</v>
      </c>
      <c r="BO668" s="1" t="s">
        <v>74</v>
      </c>
      <c r="BP668" s="1" t="s">
        <v>74</v>
      </c>
      <c r="BQ668" s="1" t="s">
        <v>74</v>
      </c>
      <c r="BR668" s="1" t="s">
        <v>74</v>
      </c>
      <c r="BS668" s="1" t="s">
        <v>6793</v>
      </c>
      <c r="BT668" s="1" t="str">
        <f>HYPERLINK("https%3A%2F%2Fwww.webofscience.com%2Fwos%2Fwoscc%2Ffull-record%2FWOS:000584032100002","View Full Record in Web of Science")</f>
        <v>View Full Record in Web of Science</v>
      </c>
    </row>
    <row r="669" ht="12.75" customHeight="1">
      <c r="A669" s="1" t="s">
        <v>72</v>
      </c>
      <c r="B669" s="1" t="s">
        <v>6794</v>
      </c>
      <c r="C669" s="1" t="s">
        <v>74</v>
      </c>
      <c r="D669" s="1" t="s">
        <v>74</v>
      </c>
      <c r="E669" s="1" t="s">
        <v>74</v>
      </c>
      <c r="F669" s="1" t="s">
        <v>6795</v>
      </c>
      <c r="G669" s="1" t="s">
        <v>74</v>
      </c>
      <c r="H669" s="1" t="s">
        <v>74</v>
      </c>
      <c r="I669" s="1" t="s">
        <v>6796</v>
      </c>
      <c r="J669" s="1" t="s">
        <v>6797</v>
      </c>
      <c r="K669" s="1" t="s">
        <v>74</v>
      </c>
      <c r="L669" s="1" t="s">
        <v>74</v>
      </c>
      <c r="M669" s="1" t="s">
        <v>74</v>
      </c>
      <c r="N669" s="1" t="s">
        <v>74</v>
      </c>
      <c r="O669" s="1" t="s">
        <v>74</v>
      </c>
      <c r="P669" s="1" t="s">
        <v>74</v>
      </c>
      <c r="Q669" s="1" t="s">
        <v>74</v>
      </c>
      <c r="R669" s="1" t="s">
        <v>74</v>
      </c>
      <c r="S669" s="1" t="s">
        <v>74</v>
      </c>
      <c r="T669" s="1" t="s">
        <v>74</v>
      </c>
      <c r="U669" s="1" t="s">
        <v>74</v>
      </c>
      <c r="V669" s="1" t="s">
        <v>6798</v>
      </c>
      <c r="W669" s="1" t="s">
        <v>74</v>
      </c>
      <c r="X669" s="1" t="s">
        <v>74</v>
      </c>
      <c r="Y669" s="1" t="s">
        <v>74</v>
      </c>
      <c r="Z669" s="1" t="s">
        <v>74</v>
      </c>
      <c r="AA669" s="1" t="s">
        <v>6799</v>
      </c>
      <c r="AB669" s="1" t="s">
        <v>6800</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74</v>
      </c>
      <c r="AP669" s="1" t="s">
        <v>6801</v>
      </c>
      <c r="AQ669" s="1" t="s">
        <v>74</v>
      </c>
      <c r="AR669" s="1" t="s">
        <v>74</v>
      </c>
      <c r="AS669" s="1" t="s">
        <v>74</v>
      </c>
      <c r="AT669" s="1" t="s">
        <v>6711</v>
      </c>
      <c r="AU669" s="1">
        <v>2018.0</v>
      </c>
      <c r="AV669" s="1">
        <v>70.0</v>
      </c>
      <c r="AW669" s="1" t="s">
        <v>74</v>
      </c>
      <c r="AX669" s="1" t="s">
        <v>74</v>
      </c>
      <c r="AY669" s="1" t="s">
        <v>74</v>
      </c>
      <c r="AZ669" s="1" t="s">
        <v>74</v>
      </c>
      <c r="BA669" s="1" t="s">
        <v>74</v>
      </c>
      <c r="BB669" s="1" t="s">
        <v>74</v>
      </c>
      <c r="BC669" s="1" t="s">
        <v>74</v>
      </c>
      <c r="BD669" s="1">
        <v>127.0</v>
      </c>
      <c r="BE669" s="1" t="s">
        <v>6802</v>
      </c>
      <c r="BF669" s="2" t="str">
        <f>HYPERLINK("http://dx.doi.org/10.1186/s40623-018-0898-1","http://dx.doi.org/10.1186/s40623-018-0898-1")</f>
        <v>http://dx.doi.org/10.1186/s40623-018-0898-1</v>
      </c>
      <c r="BG669" s="1" t="s">
        <v>74</v>
      </c>
      <c r="BH669" s="1" t="s">
        <v>74</v>
      </c>
      <c r="BI669" s="1" t="s">
        <v>74</v>
      </c>
      <c r="BJ669" s="1" t="s">
        <v>74</v>
      </c>
      <c r="BK669" s="1" t="s">
        <v>74</v>
      </c>
      <c r="BL669" s="1" t="s">
        <v>74</v>
      </c>
      <c r="BM669" s="1" t="s">
        <v>74</v>
      </c>
      <c r="BN669" s="1">
        <v>3.095653E7</v>
      </c>
      <c r="BO669" s="1" t="s">
        <v>74</v>
      </c>
      <c r="BP669" s="1" t="s">
        <v>74</v>
      </c>
      <c r="BQ669" s="1" t="s">
        <v>74</v>
      </c>
      <c r="BR669" s="1" t="s">
        <v>74</v>
      </c>
      <c r="BS669" s="1" t="s">
        <v>6803</v>
      </c>
      <c r="BT669" s="1" t="str">
        <f>HYPERLINK("https%3A%2F%2Fwww.webofscience.com%2Fwos%2Fwoscc%2Ffull-record%2FWOS:000441267600001","View Full Record in Web of Science")</f>
        <v>View Full Record in Web of Science</v>
      </c>
    </row>
    <row r="670" ht="12.75" customHeight="1">
      <c r="A670" s="1" t="s">
        <v>72</v>
      </c>
      <c r="B670" s="1" t="s">
        <v>6804</v>
      </c>
      <c r="C670" s="1" t="s">
        <v>74</v>
      </c>
      <c r="D670" s="1" t="s">
        <v>74</v>
      </c>
      <c r="E670" s="1" t="s">
        <v>74</v>
      </c>
      <c r="F670" s="1" t="s">
        <v>6805</v>
      </c>
      <c r="G670" s="1" t="s">
        <v>74</v>
      </c>
      <c r="H670" s="1" t="s">
        <v>74</v>
      </c>
      <c r="I670" s="1" t="s">
        <v>6806</v>
      </c>
      <c r="J670" s="1" t="s">
        <v>1057</v>
      </c>
      <c r="K670" s="1" t="s">
        <v>74</v>
      </c>
      <c r="L670" s="1" t="s">
        <v>74</v>
      </c>
      <c r="M670" s="1" t="s">
        <v>74</v>
      </c>
      <c r="N670" s="1" t="s">
        <v>74</v>
      </c>
      <c r="O670" s="1" t="s">
        <v>74</v>
      </c>
      <c r="P670" s="1" t="s">
        <v>74</v>
      </c>
      <c r="Q670" s="1" t="s">
        <v>74</v>
      </c>
      <c r="R670" s="1" t="s">
        <v>74</v>
      </c>
      <c r="S670" s="1" t="s">
        <v>74</v>
      </c>
      <c r="T670" s="1" t="s">
        <v>74</v>
      </c>
      <c r="U670" s="1" t="s">
        <v>74</v>
      </c>
      <c r="V670" s="1" t="s">
        <v>6807</v>
      </c>
      <c r="W670" s="1" t="s">
        <v>74</v>
      </c>
      <c r="X670" s="1" t="s">
        <v>74</v>
      </c>
      <c r="Y670" s="1" t="s">
        <v>74</v>
      </c>
      <c r="Z670" s="1" t="s">
        <v>74</v>
      </c>
      <c r="AA670" s="1" t="s">
        <v>6808</v>
      </c>
      <c r="AB670" s="1" t="s">
        <v>6809</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74</v>
      </c>
      <c r="AP670" s="1" t="s">
        <v>1061</v>
      </c>
      <c r="AQ670" s="1" t="s">
        <v>74</v>
      </c>
      <c r="AR670" s="1" t="s">
        <v>74</v>
      </c>
      <c r="AS670" s="1" t="s">
        <v>74</v>
      </c>
      <c r="AT670" s="1" t="s">
        <v>106</v>
      </c>
      <c r="AU670" s="1">
        <v>2022.0</v>
      </c>
      <c r="AV670" s="1">
        <v>19.0</v>
      </c>
      <c r="AW670" s="1">
        <v>21.0</v>
      </c>
      <c r="AX670" s="1" t="s">
        <v>74</v>
      </c>
      <c r="AY670" s="1" t="s">
        <v>74</v>
      </c>
      <c r="AZ670" s="1" t="s">
        <v>74</v>
      </c>
      <c r="BA670" s="1" t="s">
        <v>74</v>
      </c>
      <c r="BB670" s="1" t="s">
        <v>74</v>
      </c>
      <c r="BC670" s="1" t="s">
        <v>74</v>
      </c>
      <c r="BD670" s="1">
        <v>14065.0</v>
      </c>
      <c r="BE670" s="1" t="s">
        <v>6810</v>
      </c>
      <c r="BF670" s="2" t="str">
        <f>HYPERLINK("http://dx.doi.org/10.3390/ijerph192114065","http://dx.doi.org/10.3390/ijerph192114065")</f>
        <v>http://dx.doi.org/10.3390/ijerph192114065</v>
      </c>
      <c r="BG670" s="1" t="s">
        <v>74</v>
      </c>
      <c r="BH670" s="1" t="s">
        <v>74</v>
      </c>
      <c r="BI670" s="1" t="s">
        <v>74</v>
      </c>
      <c r="BJ670" s="1" t="s">
        <v>74</v>
      </c>
      <c r="BK670" s="1" t="s">
        <v>74</v>
      </c>
      <c r="BL670" s="1" t="s">
        <v>74</v>
      </c>
      <c r="BM670" s="1" t="s">
        <v>74</v>
      </c>
      <c r="BN670" s="1">
        <v>3.6360952E7</v>
      </c>
      <c r="BO670" s="1" t="s">
        <v>74</v>
      </c>
      <c r="BP670" s="1" t="s">
        <v>74</v>
      </c>
      <c r="BQ670" s="1" t="s">
        <v>74</v>
      </c>
      <c r="BR670" s="1" t="s">
        <v>74</v>
      </c>
      <c r="BS670" s="1" t="s">
        <v>6811</v>
      </c>
      <c r="BT670" s="1" t="str">
        <f>HYPERLINK("https%3A%2F%2Fwww.webofscience.com%2Fwos%2Fwoscc%2Ffull-record%2FWOS:000882642500001","View Full Record in Web of Science")</f>
        <v>View Full Record in Web of Science</v>
      </c>
    </row>
    <row r="671" ht="12.75" customHeight="1">
      <c r="A671" s="1" t="s">
        <v>72</v>
      </c>
      <c r="B671" s="1" t="s">
        <v>6812</v>
      </c>
      <c r="C671" s="1" t="s">
        <v>74</v>
      </c>
      <c r="D671" s="1" t="s">
        <v>74</v>
      </c>
      <c r="E671" s="1" t="s">
        <v>74</v>
      </c>
      <c r="F671" s="1" t="s">
        <v>6813</v>
      </c>
      <c r="G671" s="1" t="s">
        <v>74</v>
      </c>
      <c r="H671" s="1" t="s">
        <v>74</v>
      </c>
      <c r="I671" s="1" t="s">
        <v>6814</v>
      </c>
      <c r="J671" s="1" t="s">
        <v>259</v>
      </c>
      <c r="K671" s="1" t="s">
        <v>74</v>
      </c>
      <c r="L671" s="1" t="s">
        <v>74</v>
      </c>
      <c r="M671" s="1" t="s">
        <v>74</v>
      </c>
      <c r="N671" s="1" t="s">
        <v>74</v>
      </c>
      <c r="O671" s="1" t="s">
        <v>74</v>
      </c>
      <c r="P671" s="1" t="s">
        <v>74</v>
      </c>
      <c r="Q671" s="1" t="s">
        <v>74</v>
      </c>
      <c r="R671" s="1" t="s">
        <v>74</v>
      </c>
      <c r="S671" s="1" t="s">
        <v>74</v>
      </c>
      <c r="T671" s="1" t="s">
        <v>74</v>
      </c>
      <c r="U671" s="1" t="s">
        <v>74</v>
      </c>
      <c r="V671" s="1" t="s">
        <v>6815</v>
      </c>
      <c r="W671" s="1" t="s">
        <v>74</v>
      </c>
      <c r="X671" s="1" t="s">
        <v>74</v>
      </c>
      <c r="Y671" s="1" t="s">
        <v>74</v>
      </c>
      <c r="Z671" s="1" t="s">
        <v>74</v>
      </c>
      <c r="AA671" s="1" t="s">
        <v>6816</v>
      </c>
      <c r="AB671" s="1" t="s">
        <v>6817</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74</v>
      </c>
      <c r="AP671" s="1" t="s">
        <v>263</v>
      </c>
      <c r="AQ671" s="1" t="s">
        <v>74</v>
      </c>
      <c r="AR671" s="1" t="s">
        <v>74</v>
      </c>
      <c r="AS671" s="1" t="s">
        <v>74</v>
      </c>
      <c r="AT671" s="1" t="s">
        <v>392</v>
      </c>
      <c r="AU671" s="1">
        <v>2020.0</v>
      </c>
      <c r="AV671" s="1">
        <v>12.0</v>
      </c>
      <c r="AW671" s="1">
        <v>4.0</v>
      </c>
      <c r="AX671" s="1" t="s">
        <v>74</v>
      </c>
      <c r="AY671" s="1" t="s">
        <v>74</v>
      </c>
      <c r="AZ671" s="1" t="s">
        <v>74</v>
      </c>
      <c r="BA671" s="1" t="s">
        <v>74</v>
      </c>
      <c r="BB671" s="1" t="s">
        <v>74</v>
      </c>
      <c r="BC671" s="1" t="s">
        <v>74</v>
      </c>
      <c r="BD671" s="1">
        <v>1106.0</v>
      </c>
      <c r="BE671" s="1" t="s">
        <v>6818</v>
      </c>
      <c r="BF671" s="2" t="str">
        <f>HYPERLINK("http://dx.doi.org/10.3390/nu12041106","http://dx.doi.org/10.3390/nu12041106")</f>
        <v>http://dx.doi.org/10.3390/nu12041106</v>
      </c>
      <c r="BG671" s="1" t="s">
        <v>74</v>
      </c>
      <c r="BH671" s="1" t="s">
        <v>74</v>
      </c>
      <c r="BI671" s="1" t="s">
        <v>74</v>
      </c>
      <c r="BJ671" s="1" t="s">
        <v>74</v>
      </c>
      <c r="BK671" s="1" t="s">
        <v>74</v>
      </c>
      <c r="BL671" s="1" t="s">
        <v>74</v>
      </c>
      <c r="BM671" s="1" t="s">
        <v>74</v>
      </c>
      <c r="BN671" s="1">
        <v>3.231615E7</v>
      </c>
      <c r="BO671" s="1" t="s">
        <v>74</v>
      </c>
      <c r="BP671" s="1" t="s">
        <v>74</v>
      </c>
      <c r="BQ671" s="1" t="s">
        <v>74</v>
      </c>
      <c r="BR671" s="1" t="s">
        <v>74</v>
      </c>
      <c r="BS671" s="1" t="s">
        <v>6819</v>
      </c>
      <c r="BT671" s="1" t="str">
        <f>HYPERLINK("https%3A%2F%2Fwww.webofscience.com%2Fwos%2Fwoscc%2Ffull-record%2FWOS:000531831300226","View Full Record in Web of Science")</f>
        <v>View Full Record in Web of Science</v>
      </c>
    </row>
    <row r="672" ht="12.75" customHeight="1">
      <c r="A672" s="1" t="s">
        <v>72</v>
      </c>
      <c r="B672" s="1" t="s">
        <v>6820</v>
      </c>
      <c r="C672" s="1" t="s">
        <v>74</v>
      </c>
      <c r="D672" s="1" t="s">
        <v>74</v>
      </c>
      <c r="E672" s="1" t="s">
        <v>74</v>
      </c>
      <c r="F672" s="1" t="s">
        <v>6821</v>
      </c>
      <c r="G672" s="1" t="s">
        <v>74</v>
      </c>
      <c r="H672" s="1" t="s">
        <v>74</v>
      </c>
      <c r="I672" s="1" t="s">
        <v>6822</v>
      </c>
      <c r="J672" s="1" t="s">
        <v>6823</v>
      </c>
      <c r="K672" s="1" t="s">
        <v>74</v>
      </c>
      <c r="L672" s="1" t="s">
        <v>74</v>
      </c>
      <c r="M672" s="1" t="s">
        <v>74</v>
      </c>
      <c r="N672" s="1" t="s">
        <v>74</v>
      </c>
      <c r="O672" s="1" t="s">
        <v>74</v>
      </c>
      <c r="P672" s="1" t="s">
        <v>74</v>
      </c>
      <c r="Q672" s="1" t="s">
        <v>74</v>
      </c>
      <c r="R672" s="1" t="s">
        <v>74</v>
      </c>
      <c r="S672" s="1" t="s">
        <v>74</v>
      </c>
      <c r="T672" s="1" t="s">
        <v>74</v>
      </c>
      <c r="U672" s="1" t="s">
        <v>74</v>
      </c>
      <c r="V672" s="1" t="s">
        <v>6824</v>
      </c>
      <c r="W672" s="1" t="s">
        <v>74</v>
      </c>
      <c r="X672" s="1" t="s">
        <v>74</v>
      </c>
      <c r="Y672" s="1" t="s">
        <v>74</v>
      </c>
      <c r="Z672" s="1" t="s">
        <v>74</v>
      </c>
      <c r="AA672" s="1" t="s">
        <v>6825</v>
      </c>
      <c r="AB672" s="1" t="s">
        <v>1325</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6826</v>
      </c>
      <c r="AP672" s="1" t="s">
        <v>6827</v>
      </c>
      <c r="AQ672" s="1" t="s">
        <v>74</v>
      </c>
      <c r="AR672" s="1" t="s">
        <v>74</v>
      </c>
      <c r="AS672" s="1" t="s">
        <v>74</v>
      </c>
      <c r="AT672" s="1" t="s">
        <v>6828</v>
      </c>
      <c r="AU672" s="1">
        <v>2024.0</v>
      </c>
      <c r="AV672" s="1">
        <v>34.0</v>
      </c>
      <c r="AW672" s="1">
        <v>5.0</v>
      </c>
      <c r="AX672" s="1" t="s">
        <v>74</v>
      </c>
      <c r="AY672" s="1" t="s">
        <v>74</v>
      </c>
      <c r="AZ672" s="1" t="s">
        <v>74</v>
      </c>
      <c r="BA672" s="1" t="s">
        <v>74</v>
      </c>
      <c r="BB672" s="1" t="s">
        <v>74</v>
      </c>
      <c r="BC672" s="1" t="s">
        <v>74</v>
      </c>
      <c r="BD672" s="1" t="s">
        <v>6829</v>
      </c>
      <c r="BE672" s="1" t="s">
        <v>6830</v>
      </c>
      <c r="BF672" s="2" t="str">
        <f>HYPERLINK("http://dx.doi.org/10.1093/cercor/bhae188","http://dx.doi.org/10.1093/cercor/bhae188")</f>
        <v>http://dx.doi.org/10.1093/cercor/bhae188</v>
      </c>
      <c r="BG672" s="1" t="s">
        <v>74</v>
      </c>
      <c r="BH672" s="1" t="s">
        <v>74</v>
      </c>
      <c r="BI672" s="1" t="s">
        <v>74</v>
      </c>
      <c r="BJ672" s="1" t="s">
        <v>74</v>
      </c>
      <c r="BK672" s="1" t="s">
        <v>74</v>
      </c>
      <c r="BL672" s="1" t="s">
        <v>74</v>
      </c>
      <c r="BM672" s="1" t="s">
        <v>74</v>
      </c>
      <c r="BN672" s="1">
        <v>3.8741267E7</v>
      </c>
      <c r="BO672" s="1" t="s">
        <v>74</v>
      </c>
      <c r="BP672" s="1" t="s">
        <v>74</v>
      </c>
      <c r="BQ672" s="1" t="s">
        <v>74</v>
      </c>
      <c r="BR672" s="1" t="s">
        <v>74</v>
      </c>
      <c r="BS672" s="1" t="s">
        <v>6831</v>
      </c>
      <c r="BT672" s="1" t="str">
        <f>HYPERLINK("https%3A%2F%2Fwww.webofscience.com%2Fwos%2Fwoscc%2Ffull-record%2FWOS:001222546200008","View Full Record in Web of Science")</f>
        <v>View Full Record in Web of Science</v>
      </c>
    </row>
    <row r="673" ht="12.75" customHeight="1">
      <c r="A673" s="1" t="s">
        <v>462</v>
      </c>
      <c r="B673" s="1" t="s">
        <v>6832</v>
      </c>
      <c r="C673" s="1" t="s">
        <v>74</v>
      </c>
      <c r="D673" s="1" t="s">
        <v>74</v>
      </c>
      <c r="E673" s="1" t="s">
        <v>489</v>
      </c>
      <c r="F673" s="1" t="s">
        <v>6833</v>
      </c>
      <c r="G673" s="1" t="s">
        <v>74</v>
      </c>
      <c r="H673" s="1" t="s">
        <v>74</v>
      </c>
      <c r="I673" s="1" t="s">
        <v>6834</v>
      </c>
      <c r="J673" s="1" t="s">
        <v>6835</v>
      </c>
      <c r="K673" s="1" t="s">
        <v>74</v>
      </c>
      <c r="L673" s="1" t="s">
        <v>74</v>
      </c>
      <c r="M673" s="1" t="s">
        <v>74</v>
      </c>
      <c r="N673" s="1" t="s">
        <v>74</v>
      </c>
      <c r="O673" s="1" t="s">
        <v>6836</v>
      </c>
      <c r="P673" s="1" t="s">
        <v>6837</v>
      </c>
      <c r="Q673" s="1" t="s">
        <v>6838</v>
      </c>
      <c r="R673" s="1" t="s">
        <v>6839</v>
      </c>
      <c r="S673" s="1" t="s">
        <v>74</v>
      </c>
      <c r="T673" s="1" t="s">
        <v>74</v>
      </c>
      <c r="U673" s="1" t="s">
        <v>74</v>
      </c>
      <c r="V673" s="1" t="s">
        <v>6840</v>
      </c>
      <c r="W673" s="1" t="s">
        <v>74</v>
      </c>
      <c r="X673" s="1" t="s">
        <v>74</v>
      </c>
      <c r="Y673" s="1" t="s">
        <v>74</v>
      </c>
      <c r="Z673" s="1" t="s">
        <v>74</v>
      </c>
      <c r="AA673" s="1" t="s">
        <v>6841</v>
      </c>
      <c r="AB673" s="1" t="s">
        <v>6842</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74</v>
      </c>
      <c r="AP673" s="1" t="s">
        <v>74</v>
      </c>
      <c r="AQ673" s="1" t="s">
        <v>6843</v>
      </c>
      <c r="AR673" s="1" t="s">
        <v>74</v>
      </c>
      <c r="AS673" s="1" t="s">
        <v>74</v>
      </c>
      <c r="AT673" s="1" t="s">
        <v>74</v>
      </c>
      <c r="AU673" s="1">
        <v>2022.0</v>
      </c>
      <c r="AV673" s="1" t="s">
        <v>74</v>
      </c>
      <c r="AW673" s="1" t="s">
        <v>74</v>
      </c>
      <c r="AX673" s="1" t="s">
        <v>74</v>
      </c>
      <c r="AY673" s="1" t="s">
        <v>74</v>
      </c>
      <c r="AZ673" s="1" t="s">
        <v>74</v>
      </c>
      <c r="BA673" s="1" t="s">
        <v>74</v>
      </c>
      <c r="BB673" s="1" t="s">
        <v>74</v>
      </c>
      <c r="BC673" s="1" t="s">
        <v>74</v>
      </c>
      <c r="BD673" s="1" t="s">
        <v>74</v>
      </c>
      <c r="BE673" s="1" t="s">
        <v>74</v>
      </c>
      <c r="BF673" s="1" t="s">
        <v>74</v>
      </c>
      <c r="BG673" s="1" t="s">
        <v>74</v>
      </c>
      <c r="BH673" s="1" t="s">
        <v>74</v>
      </c>
      <c r="BI673" s="1" t="s">
        <v>74</v>
      </c>
      <c r="BJ673" s="1" t="s">
        <v>74</v>
      </c>
      <c r="BK673" s="1" t="s">
        <v>74</v>
      </c>
      <c r="BL673" s="1" t="s">
        <v>74</v>
      </c>
      <c r="BM673" s="1" t="s">
        <v>74</v>
      </c>
      <c r="BN673" s="1" t="s">
        <v>74</v>
      </c>
      <c r="BO673" s="1" t="s">
        <v>74</v>
      </c>
      <c r="BP673" s="1" t="s">
        <v>74</v>
      </c>
      <c r="BQ673" s="1" t="s">
        <v>74</v>
      </c>
      <c r="BR673" s="1" t="s">
        <v>74</v>
      </c>
      <c r="BS673" s="1" t="s">
        <v>6844</v>
      </c>
      <c r="BT673" s="1" t="str">
        <f>HYPERLINK("https%3A%2F%2Fwww.webofscience.com%2Fwos%2Fwoscc%2Ffull-record%2FWOS:000848420400165","View Full Record in Web of Science")</f>
        <v>View Full Record in Web of Science</v>
      </c>
    </row>
    <row r="674" ht="12.75" customHeight="1">
      <c r="A674" s="1" t="s">
        <v>72</v>
      </c>
      <c r="B674" s="1" t="s">
        <v>6845</v>
      </c>
      <c r="C674" s="1" t="s">
        <v>74</v>
      </c>
      <c r="D674" s="1" t="s">
        <v>74</v>
      </c>
      <c r="E674" s="1" t="s">
        <v>74</v>
      </c>
      <c r="F674" s="1" t="s">
        <v>6846</v>
      </c>
      <c r="G674" s="1" t="s">
        <v>74</v>
      </c>
      <c r="H674" s="1" t="s">
        <v>74</v>
      </c>
      <c r="I674" s="1" t="s">
        <v>6847</v>
      </c>
      <c r="J674" s="1" t="s">
        <v>1057</v>
      </c>
      <c r="K674" s="1" t="s">
        <v>74</v>
      </c>
      <c r="L674" s="1" t="s">
        <v>74</v>
      </c>
      <c r="M674" s="1" t="s">
        <v>74</v>
      </c>
      <c r="N674" s="1" t="s">
        <v>74</v>
      </c>
      <c r="O674" s="1" t="s">
        <v>74</v>
      </c>
      <c r="P674" s="1" t="s">
        <v>74</v>
      </c>
      <c r="Q674" s="1" t="s">
        <v>74</v>
      </c>
      <c r="R674" s="1" t="s">
        <v>74</v>
      </c>
      <c r="S674" s="1" t="s">
        <v>74</v>
      </c>
      <c r="T674" s="1" t="s">
        <v>74</v>
      </c>
      <c r="U674" s="1" t="s">
        <v>74</v>
      </c>
      <c r="V674" s="1" t="s">
        <v>6848</v>
      </c>
      <c r="W674" s="1" t="s">
        <v>74</v>
      </c>
      <c r="X674" s="1" t="s">
        <v>74</v>
      </c>
      <c r="Y674" s="1" t="s">
        <v>74</v>
      </c>
      <c r="Z674" s="1" t="s">
        <v>74</v>
      </c>
      <c r="AA674" s="1" t="s">
        <v>6849</v>
      </c>
      <c r="AB674" s="1" t="s">
        <v>6850</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74</v>
      </c>
      <c r="AP674" s="1" t="s">
        <v>1061</v>
      </c>
      <c r="AQ674" s="1" t="s">
        <v>74</v>
      </c>
      <c r="AR674" s="1" t="s">
        <v>74</v>
      </c>
      <c r="AS674" s="1" t="s">
        <v>74</v>
      </c>
      <c r="AT674" s="1" t="s">
        <v>106</v>
      </c>
      <c r="AU674" s="1">
        <v>2022.0</v>
      </c>
      <c r="AV674" s="1">
        <v>19.0</v>
      </c>
      <c r="AW674" s="1">
        <v>21.0</v>
      </c>
      <c r="AX674" s="1" t="s">
        <v>74</v>
      </c>
      <c r="AY674" s="1" t="s">
        <v>74</v>
      </c>
      <c r="AZ674" s="1" t="s">
        <v>74</v>
      </c>
      <c r="BA674" s="1" t="s">
        <v>74</v>
      </c>
      <c r="BB674" s="1" t="s">
        <v>74</v>
      </c>
      <c r="BC674" s="1" t="s">
        <v>74</v>
      </c>
      <c r="BD674" s="1">
        <v>14055.0</v>
      </c>
      <c r="BE674" s="1" t="s">
        <v>6851</v>
      </c>
      <c r="BF674" s="2" t="str">
        <f>HYPERLINK("http://dx.doi.org/10.3390/ijerph192114055","http://dx.doi.org/10.3390/ijerph192114055")</f>
        <v>http://dx.doi.org/10.3390/ijerph192114055</v>
      </c>
      <c r="BG674" s="1" t="s">
        <v>74</v>
      </c>
      <c r="BH674" s="1" t="s">
        <v>74</v>
      </c>
      <c r="BI674" s="1" t="s">
        <v>74</v>
      </c>
      <c r="BJ674" s="1" t="s">
        <v>74</v>
      </c>
      <c r="BK674" s="1" t="s">
        <v>74</v>
      </c>
      <c r="BL674" s="1" t="s">
        <v>74</v>
      </c>
      <c r="BM674" s="1" t="s">
        <v>74</v>
      </c>
      <c r="BN674" s="1">
        <v>3.6360934E7</v>
      </c>
      <c r="BO674" s="1" t="s">
        <v>74</v>
      </c>
      <c r="BP674" s="1" t="s">
        <v>74</v>
      </c>
      <c r="BQ674" s="1" t="s">
        <v>74</v>
      </c>
      <c r="BR674" s="1" t="s">
        <v>74</v>
      </c>
      <c r="BS674" s="1" t="s">
        <v>6852</v>
      </c>
      <c r="BT674" s="1" t="str">
        <f>HYPERLINK("https%3A%2F%2Fwww.webofscience.com%2Fwos%2Fwoscc%2Ffull-record%2FWOS:000882615500001","View Full Record in Web of Science")</f>
        <v>View Full Record in Web of Science</v>
      </c>
    </row>
    <row r="675" ht="12.75" customHeight="1">
      <c r="A675" s="1" t="s">
        <v>72</v>
      </c>
      <c r="B675" s="1" t="s">
        <v>6853</v>
      </c>
      <c r="C675" s="1" t="s">
        <v>74</v>
      </c>
      <c r="D675" s="1" t="s">
        <v>74</v>
      </c>
      <c r="E675" s="1" t="s">
        <v>74</v>
      </c>
      <c r="F675" s="1" t="s">
        <v>6854</v>
      </c>
      <c r="G675" s="1" t="s">
        <v>74</v>
      </c>
      <c r="H675" s="1" t="s">
        <v>74</v>
      </c>
      <c r="I675" s="1" t="s">
        <v>6855</v>
      </c>
      <c r="J675" s="1" t="s">
        <v>1121</v>
      </c>
      <c r="K675" s="1" t="s">
        <v>74</v>
      </c>
      <c r="L675" s="1" t="s">
        <v>74</v>
      </c>
      <c r="M675" s="1" t="s">
        <v>74</v>
      </c>
      <c r="N675" s="1" t="s">
        <v>74</v>
      </c>
      <c r="O675" s="1" t="s">
        <v>74</v>
      </c>
      <c r="P675" s="1" t="s">
        <v>74</v>
      </c>
      <c r="Q675" s="1" t="s">
        <v>74</v>
      </c>
      <c r="R675" s="1" t="s">
        <v>74</v>
      </c>
      <c r="S675" s="1" t="s">
        <v>74</v>
      </c>
      <c r="T675" s="1" t="s">
        <v>74</v>
      </c>
      <c r="U675" s="1" t="s">
        <v>74</v>
      </c>
      <c r="V675" s="1" t="s">
        <v>6856</v>
      </c>
      <c r="W675" s="1" t="s">
        <v>74</v>
      </c>
      <c r="X675" s="1" t="s">
        <v>74</v>
      </c>
      <c r="Y675" s="1" t="s">
        <v>74</v>
      </c>
      <c r="Z675" s="1" t="s">
        <v>74</v>
      </c>
      <c r="AA675" s="1" t="s">
        <v>6857</v>
      </c>
      <c r="AB675" s="1" t="s">
        <v>6858</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74</v>
      </c>
      <c r="AP675" s="1" t="s">
        <v>1125</v>
      </c>
      <c r="AQ675" s="1" t="s">
        <v>74</v>
      </c>
      <c r="AR675" s="1" t="s">
        <v>74</v>
      </c>
      <c r="AS675" s="1" t="s">
        <v>74</v>
      </c>
      <c r="AT675" s="1" t="s">
        <v>723</v>
      </c>
      <c r="AU675" s="1">
        <v>2021.0</v>
      </c>
      <c r="AV675" s="1">
        <v>12.0</v>
      </c>
      <c r="AW675" s="1" t="s">
        <v>74</v>
      </c>
      <c r="AX675" s="1" t="s">
        <v>74</v>
      </c>
      <c r="AY675" s="1" t="s">
        <v>74</v>
      </c>
      <c r="AZ675" s="1" t="s">
        <v>74</v>
      </c>
      <c r="BA675" s="1" t="s">
        <v>74</v>
      </c>
      <c r="BB675" s="1" t="s">
        <v>74</v>
      </c>
      <c r="BC675" s="1" t="s">
        <v>74</v>
      </c>
      <c r="BD675" s="1">
        <v>706189.0</v>
      </c>
      <c r="BE675" s="1" t="s">
        <v>6859</v>
      </c>
      <c r="BF675" s="2" t="str">
        <f>HYPERLINK("http://dx.doi.org/10.3389/fphys.2021.706189","http://dx.doi.org/10.3389/fphys.2021.706189")</f>
        <v>http://dx.doi.org/10.3389/fphys.2021.706189</v>
      </c>
      <c r="BG675" s="1" t="s">
        <v>74</v>
      </c>
      <c r="BH675" s="1" t="s">
        <v>74</v>
      </c>
      <c r="BI675" s="1" t="s">
        <v>74</v>
      </c>
      <c r="BJ675" s="1" t="s">
        <v>74</v>
      </c>
      <c r="BK675" s="1" t="s">
        <v>74</v>
      </c>
      <c r="BL675" s="1" t="s">
        <v>74</v>
      </c>
      <c r="BM675" s="1" t="s">
        <v>74</v>
      </c>
      <c r="BN675" s="1">
        <v>3.4335309E7</v>
      </c>
      <c r="BO675" s="1" t="s">
        <v>74</v>
      </c>
      <c r="BP675" s="1" t="s">
        <v>74</v>
      </c>
      <c r="BQ675" s="1" t="s">
        <v>74</v>
      </c>
      <c r="BR675" s="1" t="s">
        <v>74</v>
      </c>
      <c r="BS675" s="1" t="s">
        <v>6860</v>
      </c>
      <c r="BT675" s="1" t="str">
        <f>HYPERLINK("https%3A%2F%2Fwww.webofscience.com%2Fwos%2Fwoscc%2Ffull-record%2FWOS:000679135500001","View Full Record in Web of Science")</f>
        <v>View Full Record in Web of Science</v>
      </c>
    </row>
    <row r="676" ht="12.75" customHeight="1">
      <c r="A676" s="1" t="s">
        <v>72</v>
      </c>
      <c r="B676" s="1" t="s">
        <v>6861</v>
      </c>
      <c r="C676" s="1" t="s">
        <v>74</v>
      </c>
      <c r="D676" s="1" t="s">
        <v>74</v>
      </c>
      <c r="E676" s="1" t="s">
        <v>74</v>
      </c>
      <c r="F676" s="1" t="s">
        <v>6862</v>
      </c>
      <c r="G676" s="1" t="s">
        <v>74</v>
      </c>
      <c r="H676" s="1" t="s">
        <v>74</v>
      </c>
      <c r="I676" s="1" t="s">
        <v>6863</v>
      </c>
      <c r="J676" s="1" t="s">
        <v>6864</v>
      </c>
      <c r="K676" s="1" t="s">
        <v>74</v>
      </c>
      <c r="L676" s="1" t="s">
        <v>74</v>
      </c>
      <c r="M676" s="1" t="s">
        <v>74</v>
      </c>
      <c r="N676" s="1" t="s">
        <v>74</v>
      </c>
      <c r="O676" s="1" t="s">
        <v>74</v>
      </c>
      <c r="P676" s="1" t="s">
        <v>74</v>
      </c>
      <c r="Q676" s="1" t="s">
        <v>74</v>
      </c>
      <c r="R676" s="1" t="s">
        <v>74</v>
      </c>
      <c r="S676" s="1" t="s">
        <v>74</v>
      </c>
      <c r="T676" s="1" t="s">
        <v>74</v>
      </c>
      <c r="U676" s="1" t="s">
        <v>74</v>
      </c>
      <c r="V676" s="1" t="s">
        <v>6865</v>
      </c>
      <c r="W676" s="1" t="s">
        <v>74</v>
      </c>
      <c r="X676" s="1" t="s">
        <v>74</v>
      </c>
      <c r="Y676" s="1" t="s">
        <v>74</v>
      </c>
      <c r="Z676" s="1" t="s">
        <v>74</v>
      </c>
      <c r="AA676" s="1" t="s">
        <v>6866</v>
      </c>
      <c r="AB676" s="1" t="s">
        <v>6867</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6868</v>
      </c>
      <c r="AP676" s="1" t="s">
        <v>6869</v>
      </c>
      <c r="AQ676" s="1" t="s">
        <v>74</v>
      </c>
      <c r="AR676" s="1" t="s">
        <v>74</v>
      </c>
      <c r="AS676" s="1" t="s">
        <v>74</v>
      </c>
      <c r="AT676" s="1" t="s">
        <v>745</v>
      </c>
      <c r="AU676" s="1">
        <v>2023.0</v>
      </c>
      <c r="AV676" s="1">
        <v>84.0</v>
      </c>
      <c r="AW676" s="1" t="s">
        <v>74</v>
      </c>
      <c r="AX676" s="1" t="s">
        <v>74</v>
      </c>
      <c r="AY676" s="1" t="s">
        <v>74</v>
      </c>
      <c r="AZ676" s="1" t="s">
        <v>74</v>
      </c>
      <c r="BA676" s="1" t="s">
        <v>74</v>
      </c>
      <c r="BB676" s="1" t="s">
        <v>74</v>
      </c>
      <c r="BC676" s="1" t="s">
        <v>74</v>
      </c>
      <c r="BD676" s="1">
        <v>104965.0</v>
      </c>
      <c r="BE676" s="1" t="s">
        <v>6870</v>
      </c>
      <c r="BF676" s="2" t="str">
        <f>HYPERLINK("http://dx.doi.org/10.1016/j.bspc.2023.104965","http://dx.doi.org/10.1016/j.bspc.2023.104965")</f>
        <v>http://dx.doi.org/10.1016/j.bspc.2023.104965</v>
      </c>
      <c r="BG676" s="1" t="s">
        <v>74</v>
      </c>
      <c r="BH676" s="1" t="s">
        <v>1899</v>
      </c>
      <c r="BI676" s="1" t="s">
        <v>74</v>
      </c>
      <c r="BJ676" s="1" t="s">
        <v>74</v>
      </c>
      <c r="BK676" s="1" t="s">
        <v>74</v>
      </c>
      <c r="BL676" s="1" t="s">
        <v>74</v>
      </c>
      <c r="BM676" s="1" t="s">
        <v>74</v>
      </c>
      <c r="BN676" s="1" t="s">
        <v>74</v>
      </c>
      <c r="BO676" s="1" t="s">
        <v>74</v>
      </c>
      <c r="BP676" s="1" t="s">
        <v>74</v>
      </c>
      <c r="BQ676" s="1" t="s">
        <v>74</v>
      </c>
      <c r="BR676" s="1" t="s">
        <v>74</v>
      </c>
      <c r="BS676" s="1" t="s">
        <v>6871</v>
      </c>
      <c r="BT676" s="1" t="str">
        <f>HYPERLINK("https%3A%2F%2Fwww.webofscience.com%2Fwos%2Fwoscc%2Ffull-record%2FWOS:001032514100001","View Full Record in Web of Science")</f>
        <v>View Full Record in Web of Science</v>
      </c>
    </row>
    <row r="677" ht="12.75" customHeight="1">
      <c r="A677" s="1" t="s">
        <v>72</v>
      </c>
      <c r="B677" s="1" t="s">
        <v>6872</v>
      </c>
      <c r="C677" s="1" t="s">
        <v>74</v>
      </c>
      <c r="D677" s="1" t="s">
        <v>74</v>
      </c>
      <c r="E677" s="1" t="s">
        <v>74</v>
      </c>
      <c r="F677" s="1" t="s">
        <v>6873</v>
      </c>
      <c r="G677" s="1" t="s">
        <v>74</v>
      </c>
      <c r="H677" s="1" t="s">
        <v>74</v>
      </c>
      <c r="I677" s="1" t="s">
        <v>6874</v>
      </c>
      <c r="J677" s="1" t="s">
        <v>3328</v>
      </c>
      <c r="K677" s="1" t="s">
        <v>74</v>
      </c>
      <c r="L677" s="1" t="s">
        <v>74</v>
      </c>
      <c r="M677" s="1" t="s">
        <v>74</v>
      </c>
      <c r="N677" s="1" t="s">
        <v>74</v>
      </c>
      <c r="O677" s="1" t="s">
        <v>74</v>
      </c>
      <c r="P677" s="1" t="s">
        <v>74</v>
      </c>
      <c r="Q677" s="1" t="s">
        <v>74</v>
      </c>
      <c r="R677" s="1" t="s">
        <v>74</v>
      </c>
      <c r="S677" s="1" t="s">
        <v>74</v>
      </c>
      <c r="T677" s="1" t="s">
        <v>74</v>
      </c>
      <c r="U677" s="1" t="s">
        <v>74</v>
      </c>
      <c r="V677" s="1" t="s">
        <v>6875</v>
      </c>
      <c r="W677" s="1" t="s">
        <v>74</v>
      </c>
      <c r="X677" s="1" t="s">
        <v>74</v>
      </c>
      <c r="Y677" s="1" t="s">
        <v>74</v>
      </c>
      <c r="Z677" s="1" t="s">
        <v>74</v>
      </c>
      <c r="AA677" s="1" t="s">
        <v>6876</v>
      </c>
      <c r="AB677" s="1" t="s">
        <v>6877</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74</v>
      </c>
      <c r="AP677" s="1" t="s">
        <v>3332</v>
      </c>
      <c r="AQ677" s="1" t="s">
        <v>74</v>
      </c>
      <c r="AR677" s="1" t="s">
        <v>74</v>
      </c>
      <c r="AS677" s="1" t="s">
        <v>74</v>
      </c>
      <c r="AT677" s="1" t="s">
        <v>6878</v>
      </c>
      <c r="AU677" s="1">
        <v>2022.0</v>
      </c>
      <c r="AV677" s="1">
        <v>12.0</v>
      </c>
      <c r="AW677" s="1" t="s">
        <v>74</v>
      </c>
      <c r="AX677" s="1" t="s">
        <v>74</v>
      </c>
      <c r="AY677" s="1" t="s">
        <v>74</v>
      </c>
      <c r="AZ677" s="1" t="s">
        <v>74</v>
      </c>
      <c r="BA677" s="1" t="s">
        <v>74</v>
      </c>
      <c r="BB677" s="1" t="s">
        <v>74</v>
      </c>
      <c r="BC677" s="1" t="s">
        <v>74</v>
      </c>
      <c r="BD677" s="1">
        <v>794470.0</v>
      </c>
      <c r="BE677" s="1" t="s">
        <v>6879</v>
      </c>
      <c r="BF677" s="2" t="str">
        <f>HYPERLINK("http://dx.doi.org/10.3389/fmicb.2021.794470","http://dx.doi.org/10.3389/fmicb.2021.794470")</f>
        <v>http://dx.doi.org/10.3389/fmicb.2021.794470</v>
      </c>
      <c r="BG677" s="1" t="s">
        <v>74</v>
      </c>
      <c r="BH677" s="1" t="s">
        <v>74</v>
      </c>
      <c r="BI677" s="1" t="s">
        <v>74</v>
      </c>
      <c r="BJ677" s="1" t="s">
        <v>74</v>
      </c>
      <c r="BK677" s="1" t="s">
        <v>74</v>
      </c>
      <c r="BL677" s="1" t="s">
        <v>74</v>
      </c>
      <c r="BM677" s="1" t="s">
        <v>74</v>
      </c>
      <c r="BN677" s="1">
        <v>3.518582E7</v>
      </c>
      <c r="BO677" s="1" t="s">
        <v>74</v>
      </c>
      <c r="BP677" s="1" t="s">
        <v>74</v>
      </c>
      <c r="BQ677" s="1" t="s">
        <v>74</v>
      </c>
      <c r="BR677" s="1" t="s">
        <v>74</v>
      </c>
      <c r="BS677" s="1" t="s">
        <v>6880</v>
      </c>
      <c r="BT677" s="1" t="str">
        <f>HYPERLINK("https%3A%2F%2Fwww.webofscience.com%2Fwos%2Fwoscc%2Ffull-record%2FWOS:000761002500001","View Full Record in Web of Science")</f>
        <v>View Full Record in Web of Science</v>
      </c>
    </row>
    <row r="678" ht="12.75" customHeight="1">
      <c r="A678" s="1" t="s">
        <v>72</v>
      </c>
      <c r="B678" s="1" t="s">
        <v>6881</v>
      </c>
      <c r="C678" s="1" t="s">
        <v>74</v>
      </c>
      <c r="D678" s="1" t="s">
        <v>74</v>
      </c>
      <c r="E678" s="1" t="s">
        <v>74</v>
      </c>
      <c r="F678" s="1" t="s">
        <v>6882</v>
      </c>
      <c r="G678" s="1" t="s">
        <v>74</v>
      </c>
      <c r="H678" s="1" t="s">
        <v>74</v>
      </c>
      <c r="I678" s="1" t="s">
        <v>6883</v>
      </c>
      <c r="J678" s="1" t="s">
        <v>4863</v>
      </c>
      <c r="K678" s="1" t="s">
        <v>74</v>
      </c>
      <c r="L678" s="1" t="s">
        <v>74</v>
      </c>
      <c r="M678" s="1" t="s">
        <v>74</v>
      </c>
      <c r="N678" s="1" t="s">
        <v>74</v>
      </c>
      <c r="O678" s="1" t="s">
        <v>74</v>
      </c>
      <c r="P678" s="1" t="s">
        <v>74</v>
      </c>
      <c r="Q678" s="1" t="s">
        <v>74</v>
      </c>
      <c r="R678" s="1" t="s">
        <v>74</v>
      </c>
      <c r="S678" s="1" t="s">
        <v>74</v>
      </c>
      <c r="T678" s="1" t="s">
        <v>74</v>
      </c>
      <c r="U678" s="1" t="s">
        <v>74</v>
      </c>
      <c r="V678" s="1" t="s">
        <v>6884</v>
      </c>
      <c r="W678" s="1" t="s">
        <v>74</v>
      </c>
      <c r="X678" s="1" t="s">
        <v>74</v>
      </c>
      <c r="Y678" s="1" t="s">
        <v>74</v>
      </c>
      <c r="Z678" s="1" t="s">
        <v>74</v>
      </c>
      <c r="AA678" s="1" t="s">
        <v>6885</v>
      </c>
      <c r="AB678" s="1" t="s">
        <v>6886</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4867</v>
      </c>
      <c r="AP678" s="1" t="s">
        <v>4868</v>
      </c>
      <c r="AQ678" s="1" t="s">
        <v>74</v>
      </c>
      <c r="AR678" s="1" t="s">
        <v>74</v>
      </c>
      <c r="AS678" s="1" t="s">
        <v>74</v>
      </c>
      <c r="AT678" s="1" t="s">
        <v>214</v>
      </c>
      <c r="AU678" s="1">
        <v>2024.0</v>
      </c>
      <c r="AV678" s="1">
        <v>124.0</v>
      </c>
      <c r="AW678" s="1" t="s">
        <v>74</v>
      </c>
      <c r="AX678" s="1" t="s">
        <v>74</v>
      </c>
      <c r="AY678" s="1" t="s">
        <v>74</v>
      </c>
      <c r="AZ678" s="1" t="s">
        <v>74</v>
      </c>
      <c r="BA678" s="1" t="s">
        <v>74</v>
      </c>
      <c r="BB678" s="1" t="s">
        <v>74</v>
      </c>
      <c r="BC678" s="1" t="s">
        <v>74</v>
      </c>
      <c r="BD678" s="1">
        <v>155286.0</v>
      </c>
      <c r="BE678" s="1" t="s">
        <v>6887</v>
      </c>
      <c r="BF678" s="2" t="str">
        <f>HYPERLINK("http://dx.doi.org/10.1016/j.phymed.2023.155286","http://dx.doi.org/10.1016/j.phymed.2023.155286")</f>
        <v>http://dx.doi.org/10.1016/j.phymed.2023.155286</v>
      </c>
      <c r="BG678" s="1" t="s">
        <v>74</v>
      </c>
      <c r="BH678" s="1" t="s">
        <v>4352</v>
      </c>
      <c r="BI678" s="1" t="s">
        <v>74</v>
      </c>
      <c r="BJ678" s="1" t="s">
        <v>74</v>
      </c>
      <c r="BK678" s="1" t="s">
        <v>74</v>
      </c>
      <c r="BL678" s="1" t="s">
        <v>74</v>
      </c>
      <c r="BM678" s="1" t="s">
        <v>74</v>
      </c>
      <c r="BN678" s="1">
        <v>3.8241906E7</v>
      </c>
      <c r="BO678" s="1" t="s">
        <v>74</v>
      </c>
      <c r="BP678" s="1" t="s">
        <v>74</v>
      </c>
      <c r="BQ678" s="1" t="s">
        <v>74</v>
      </c>
      <c r="BR678" s="1" t="s">
        <v>74</v>
      </c>
      <c r="BS678" s="1" t="s">
        <v>6888</v>
      </c>
      <c r="BT678" s="1" t="str">
        <f>HYPERLINK("https%3A%2F%2Fwww.webofscience.com%2Fwos%2Fwoscc%2Ffull-record%2FWOS:001168395100001","View Full Record in Web of Science")</f>
        <v>View Full Record in Web of Science</v>
      </c>
    </row>
    <row r="679" ht="12.75" customHeight="1">
      <c r="A679" s="1" t="s">
        <v>72</v>
      </c>
      <c r="B679" s="1" t="s">
        <v>6889</v>
      </c>
      <c r="C679" s="1" t="s">
        <v>74</v>
      </c>
      <c r="D679" s="1" t="s">
        <v>74</v>
      </c>
      <c r="E679" s="1" t="s">
        <v>74</v>
      </c>
      <c r="F679" s="1" t="s">
        <v>6890</v>
      </c>
      <c r="G679" s="1" t="s">
        <v>74</v>
      </c>
      <c r="H679" s="1" t="s">
        <v>74</v>
      </c>
      <c r="I679" s="1" t="s">
        <v>6891</v>
      </c>
      <c r="J679" s="1" t="s">
        <v>1923</v>
      </c>
      <c r="K679" s="1" t="s">
        <v>74</v>
      </c>
      <c r="L679" s="1" t="s">
        <v>74</v>
      </c>
      <c r="M679" s="1" t="s">
        <v>74</v>
      </c>
      <c r="N679" s="1" t="s">
        <v>74</v>
      </c>
      <c r="O679" s="1" t="s">
        <v>74</v>
      </c>
      <c r="P679" s="1" t="s">
        <v>74</v>
      </c>
      <c r="Q679" s="1" t="s">
        <v>74</v>
      </c>
      <c r="R679" s="1" t="s">
        <v>74</v>
      </c>
      <c r="S679" s="1" t="s">
        <v>74</v>
      </c>
      <c r="T679" s="1" t="s">
        <v>74</v>
      </c>
      <c r="U679" s="1" t="s">
        <v>74</v>
      </c>
      <c r="V679" s="1" t="s">
        <v>6892</v>
      </c>
      <c r="W679" s="1" t="s">
        <v>74</v>
      </c>
      <c r="X679" s="1" t="s">
        <v>74</v>
      </c>
      <c r="Y679" s="1" t="s">
        <v>74</v>
      </c>
      <c r="Z679" s="1" t="s">
        <v>74</v>
      </c>
      <c r="AA679" s="1" t="s">
        <v>6893</v>
      </c>
      <c r="AB679" s="1" t="s">
        <v>6894</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1927</v>
      </c>
      <c r="AP679" s="1" t="s">
        <v>1928</v>
      </c>
      <c r="AQ679" s="1" t="s">
        <v>74</v>
      </c>
      <c r="AR679" s="1" t="s">
        <v>74</v>
      </c>
      <c r="AS679" s="1" t="s">
        <v>74</v>
      </c>
      <c r="AT679" s="1" t="s">
        <v>447</v>
      </c>
      <c r="AU679" s="1">
        <v>2018.0</v>
      </c>
      <c r="AV679" s="1">
        <v>28.0</v>
      </c>
      <c r="AW679" s="1">
        <v>8.0</v>
      </c>
      <c r="AX679" s="1" t="s">
        <v>74</v>
      </c>
      <c r="AY679" s="1" t="s">
        <v>74</v>
      </c>
      <c r="AZ679" s="1" t="s">
        <v>74</v>
      </c>
      <c r="BA679" s="1" t="s">
        <v>74</v>
      </c>
      <c r="BB679" s="1">
        <v>1852.0</v>
      </c>
      <c r="BC679" s="1">
        <v>1858.0</v>
      </c>
      <c r="BD679" s="1" t="s">
        <v>74</v>
      </c>
      <c r="BE679" s="1" t="s">
        <v>6895</v>
      </c>
      <c r="BF679" s="2" t="str">
        <f>HYPERLINK("http://dx.doi.org/10.1111/sms.13206","http://dx.doi.org/10.1111/sms.13206")</f>
        <v>http://dx.doi.org/10.1111/sms.13206</v>
      </c>
      <c r="BG679" s="1" t="s">
        <v>74</v>
      </c>
      <c r="BH679" s="1" t="s">
        <v>74</v>
      </c>
      <c r="BI679" s="1" t="s">
        <v>74</v>
      </c>
      <c r="BJ679" s="1" t="s">
        <v>74</v>
      </c>
      <c r="BK679" s="1" t="s">
        <v>74</v>
      </c>
      <c r="BL679" s="1" t="s">
        <v>74</v>
      </c>
      <c r="BM679" s="1" t="s">
        <v>74</v>
      </c>
      <c r="BN679" s="1">
        <v>2.9723933E7</v>
      </c>
      <c r="BO679" s="1" t="s">
        <v>74</v>
      </c>
      <c r="BP679" s="1" t="s">
        <v>74</v>
      </c>
      <c r="BQ679" s="1" t="s">
        <v>74</v>
      </c>
      <c r="BR679" s="1" t="s">
        <v>74</v>
      </c>
      <c r="BS679" s="1" t="s">
        <v>6896</v>
      </c>
      <c r="BT679" s="1" t="str">
        <f>HYPERLINK("https%3A%2F%2Fwww.webofscience.com%2Fwos%2Fwoscc%2Ffull-record%2FWOS:000438364500002","View Full Record in Web of Science")</f>
        <v>View Full Record in Web of Science</v>
      </c>
    </row>
    <row r="680" ht="12.75" customHeight="1">
      <c r="A680" s="1" t="s">
        <v>72</v>
      </c>
      <c r="B680" s="1" t="s">
        <v>6897</v>
      </c>
      <c r="C680" s="1" t="s">
        <v>74</v>
      </c>
      <c r="D680" s="1" t="s">
        <v>74</v>
      </c>
      <c r="E680" s="1" t="s">
        <v>74</v>
      </c>
      <c r="F680" s="1" t="s">
        <v>6898</v>
      </c>
      <c r="G680" s="1" t="s">
        <v>74</v>
      </c>
      <c r="H680" s="1" t="s">
        <v>74</v>
      </c>
      <c r="I680" s="1" t="s">
        <v>6899</v>
      </c>
      <c r="J680" s="1" t="s">
        <v>2720</v>
      </c>
      <c r="K680" s="1" t="s">
        <v>74</v>
      </c>
      <c r="L680" s="1" t="s">
        <v>74</v>
      </c>
      <c r="M680" s="1" t="s">
        <v>74</v>
      </c>
      <c r="N680" s="1" t="s">
        <v>74</v>
      </c>
      <c r="O680" s="1" t="s">
        <v>74</v>
      </c>
      <c r="P680" s="1" t="s">
        <v>74</v>
      </c>
      <c r="Q680" s="1" t="s">
        <v>74</v>
      </c>
      <c r="R680" s="1" t="s">
        <v>74</v>
      </c>
      <c r="S680" s="1" t="s">
        <v>74</v>
      </c>
      <c r="T680" s="1" t="s">
        <v>74</v>
      </c>
      <c r="U680" s="1" t="s">
        <v>74</v>
      </c>
      <c r="V680" s="1" t="s">
        <v>6900</v>
      </c>
      <c r="W680" s="1" t="s">
        <v>74</v>
      </c>
      <c r="X680" s="1" t="s">
        <v>74</v>
      </c>
      <c r="Y680" s="1" t="s">
        <v>74</v>
      </c>
      <c r="Z680" s="1" t="s">
        <v>74</v>
      </c>
      <c r="AA680" s="1" t="s">
        <v>6901</v>
      </c>
      <c r="AB680" s="1" t="s">
        <v>6902</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2724</v>
      </c>
      <c r="AP680" s="1" t="s">
        <v>74</v>
      </c>
      <c r="AQ680" s="1" t="s">
        <v>74</v>
      </c>
      <c r="AR680" s="1" t="s">
        <v>74</v>
      </c>
      <c r="AS680" s="1" t="s">
        <v>74</v>
      </c>
      <c r="AT680" s="1" t="s">
        <v>334</v>
      </c>
      <c r="AU680" s="1">
        <v>2023.0</v>
      </c>
      <c r="AV680" s="1">
        <v>41.0</v>
      </c>
      <c r="AW680" s="1" t="s">
        <v>74</v>
      </c>
      <c r="AX680" s="1" t="s">
        <v>74</v>
      </c>
      <c r="AY680" s="1" t="s">
        <v>74</v>
      </c>
      <c r="AZ680" s="1" t="s">
        <v>74</v>
      </c>
      <c r="BA680" s="1" t="s">
        <v>74</v>
      </c>
      <c r="BB680" s="1" t="s">
        <v>74</v>
      </c>
      <c r="BC680" s="1" t="s">
        <v>74</v>
      </c>
      <c r="BD680" s="1">
        <v>103257.0</v>
      </c>
      <c r="BE680" s="1" t="s">
        <v>6903</v>
      </c>
      <c r="BF680" s="2" t="str">
        <f>HYPERLINK("http://dx.doi.org/10.1016/j.surfin.2023.103257","http://dx.doi.org/10.1016/j.surfin.2023.103257")</f>
        <v>http://dx.doi.org/10.1016/j.surfin.2023.103257</v>
      </c>
      <c r="BG680" s="1" t="s">
        <v>74</v>
      </c>
      <c r="BH680" s="1" t="s">
        <v>2995</v>
      </c>
      <c r="BI680" s="1" t="s">
        <v>74</v>
      </c>
      <c r="BJ680" s="1" t="s">
        <v>74</v>
      </c>
      <c r="BK680" s="1" t="s">
        <v>74</v>
      </c>
      <c r="BL680" s="1" t="s">
        <v>74</v>
      </c>
      <c r="BM680" s="1" t="s">
        <v>74</v>
      </c>
      <c r="BN680" s="1" t="s">
        <v>74</v>
      </c>
      <c r="BO680" s="1" t="s">
        <v>74</v>
      </c>
      <c r="BP680" s="1" t="s">
        <v>74</v>
      </c>
      <c r="BQ680" s="1" t="s">
        <v>74</v>
      </c>
      <c r="BR680" s="1" t="s">
        <v>74</v>
      </c>
      <c r="BS680" s="1" t="s">
        <v>6904</v>
      </c>
      <c r="BT680" s="1" t="str">
        <f>HYPERLINK("https%3A%2F%2Fwww.webofscience.com%2Fwos%2Fwoscc%2Ffull-record%2FWOS:001056722900001","View Full Record in Web of Science")</f>
        <v>View Full Record in Web of Science</v>
      </c>
    </row>
    <row r="681" ht="12.75" customHeight="1">
      <c r="A681" s="1" t="s">
        <v>72</v>
      </c>
      <c r="B681" s="1" t="s">
        <v>6905</v>
      </c>
      <c r="C681" s="1" t="s">
        <v>74</v>
      </c>
      <c r="D681" s="1" t="s">
        <v>74</v>
      </c>
      <c r="E681" s="1" t="s">
        <v>74</v>
      </c>
      <c r="F681" s="1" t="s">
        <v>6906</v>
      </c>
      <c r="G681" s="1" t="s">
        <v>74</v>
      </c>
      <c r="H681" s="1" t="s">
        <v>74</v>
      </c>
      <c r="I681" s="1" t="s">
        <v>6907</v>
      </c>
      <c r="J681" s="1" t="s">
        <v>6908</v>
      </c>
      <c r="K681" s="1" t="s">
        <v>74</v>
      </c>
      <c r="L681" s="1" t="s">
        <v>74</v>
      </c>
      <c r="M681" s="1" t="s">
        <v>74</v>
      </c>
      <c r="N681" s="1" t="s">
        <v>74</v>
      </c>
      <c r="O681" s="1" t="s">
        <v>74</v>
      </c>
      <c r="P681" s="1" t="s">
        <v>74</v>
      </c>
      <c r="Q681" s="1" t="s">
        <v>74</v>
      </c>
      <c r="R681" s="1" t="s">
        <v>74</v>
      </c>
      <c r="S681" s="1" t="s">
        <v>74</v>
      </c>
      <c r="T681" s="1" t="s">
        <v>74</v>
      </c>
      <c r="U681" s="1" t="s">
        <v>74</v>
      </c>
      <c r="V681" s="1" t="s">
        <v>6909</v>
      </c>
      <c r="W681" s="1" t="s">
        <v>74</v>
      </c>
      <c r="X681" s="1" t="s">
        <v>74</v>
      </c>
      <c r="Y681" s="1" t="s">
        <v>74</v>
      </c>
      <c r="Z681" s="1" t="s">
        <v>74</v>
      </c>
      <c r="AA681" s="1" t="s">
        <v>6910</v>
      </c>
      <c r="AB681" s="1" t="s">
        <v>6911</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6912</v>
      </c>
      <c r="AP681" s="1" t="s">
        <v>6913</v>
      </c>
      <c r="AQ681" s="1" t="s">
        <v>74</v>
      </c>
      <c r="AR681" s="1" t="s">
        <v>74</v>
      </c>
      <c r="AS681" s="1" t="s">
        <v>74</v>
      </c>
      <c r="AT681" s="1" t="s">
        <v>6914</v>
      </c>
      <c r="AU681" s="1">
        <v>2023.0</v>
      </c>
      <c r="AV681" s="1">
        <v>14.0</v>
      </c>
      <c r="AW681" s="1">
        <v>1.0</v>
      </c>
      <c r="AX681" s="1" t="s">
        <v>74</v>
      </c>
      <c r="AY681" s="1" t="s">
        <v>74</v>
      </c>
      <c r="AZ681" s="1" t="s">
        <v>74</v>
      </c>
      <c r="BA681" s="1" t="s">
        <v>74</v>
      </c>
      <c r="BB681" s="1" t="s">
        <v>74</v>
      </c>
      <c r="BC681" s="1" t="s">
        <v>74</v>
      </c>
      <c r="BD681" s="1">
        <v>90.0</v>
      </c>
      <c r="BE681" s="1" t="s">
        <v>6915</v>
      </c>
      <c r="BF681" s="2" t="str">
        <f>HYPERLINK("http://dx.doi.org/10.1186/s40104-023-00895-4","http://dx.doi.org/10.1186/s40104-023-00895-4")</f>
        <v>http://dx.doi.org/10.1186/s40104-023-00895-4</v>
      </c>
      <c r="BG681" s="1" t="s">
        <v>74</v>
      </c>
      <c r="BH681" s="1" t="s">
        <v>74</v>
      </c>
      <c r="BI681" s="1" t="s">
        <v>74</v>
      </c>
      <c r="BJ681" s="1" t="s">
        <v>74</v>
      </c>
      <c r="BK681" s="1" t="s">
        <v>74</v>
      </c>
      <c r="BL681" s="1" t="s">
        <v>74</v>
      </c>
      <c r="BM681" s="1" t="s">
        <v>74</v>
      </c>
      <c r="BN681" s="1">
        <v>3.7422657E7</v>
      </c>
      <c r="BO681" s="1" t="s">
        <v>74</v>
      </c>
      <c r="BP681" s="1" t="s">
        <v>74</v>
      </c>
      <c r="BQ681" s="1" t="s">
        <v>74</v>
      </c>
      <c r="BR681" s="1" t="s">
        <v>74</v>
      </c>
      <c r="BS681" s="1" t="s">
        <v>6916</v>
      </c>
      <c r="BT681" s="1" t="str">
        <f>HYPERLINK("https%3A%2F%2Fwww.webofscience.com%2Fwos%2Fwoscc%2Ffull-record%2FWOS:001022407400001","View Full Record in Web of Science")</f>
        <v>View Full Record in Web of Science</v>
      </c>
    </row>
    <row r="682" ht="12.75" customHeight="1">
      <c r="A682" s="1" t="s">
        <v>72</v>
      </c>
      <c r="B682" s="1" t="s">
        <v>6917</v>
      </c>
      <c r="C682" s="1" t="s">
        <v>74</v>
      </c>
      <c r="D682" s="1" t="s">
        <v>74</v>
      </c>
      <c r="E682" s="1" t="s">
        <v>74</v>
      </c>
      <c r="F682" s="1" t="s">
        <v>6918</v>
      </c>
      <c r="G682" s="1" t="s">
        <v>74</v>
      </c>
      <c r="H682" s="1" t="s">
        <v>74</v>
      </c>
      <c r="I682" s="1" t="s">
        <v>6919</v>
      </c>
      <c r="J682" s="1" t="s">
        <v>871</v>
      </c>
      <c r="K682" s="1" t="s">
        <v>74</v>
      </c>
      <c r="L682" s="1" t="s">
        <v>74</v>
      </c>
      <c r="M682" s="1" t="s">
        <v>74</v>
      </c>
      <c r="N682" s="1" t="s">
        <v>74</v>
      </c>
      <c r="O682" s="1" t="s">
        <v>74</v>
      </c>
      <c r="P682" s="1" t="s">
        <v>74</v>
      </c>
      <c r="Q682" s="1" t="s">
        <v>74</v>
      </c>
      <c r="R682" s="1" t="s">
        <v>74</v>
      </c>
      <c r="S682" s="1" t="s">
        <v>74</v>
      </c>
      <c r="T682" s="1" t="s">
        <v>74</v>
      </c>
      <c r="U682" s="1" t="s">
        <v>74</v>
      </c>
      <c r="V682" s="1" t="s">
        <v>6920</v>
      </c>
      <c r="W682" s="1" t="s">
        <v>74</v>
      </c>
      <c r="X682" s="1" t="s">
        <v>74</v>
      </c>
      <c r="Y682" s="1" t="s">
        <v>74</v>
      </c>
      <c r="Z682" s="1" t="s">
        <v>74</v>
      </c>
      <c r="AA682" s="1" t="s">
        <v>6921</v>
      </c>
      <c r="AB682" s="1" t="s">
        <v>6922</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74</v>
      </c>
      <c r="AP682" s="1" t="s">
        <v>875</v>
      </c>
      <c r="AQ682" s="1" t="s">
        <v>74</v>
      </c>
      <c r="AR682" s="1" t="s">
        <v>74</v>
      </c>
      <c r="AS682" s="1" t="s">
        <v>74</v>
      </c>
      <c r="AT682" s="1" t="s">
        <v>239</v>
      </c>
      <c r="AU682" s="1">
        <v>2022.0</v>
      </c>
      <c r="AV682" s="1">
        <v>15.0</v>
      </c>
      <c r="AW682" s="1">
        <v>9.0</v>
      </c>
      <c r="AX682" s="1" t="s">
        <v>74</v>
      </c>
      <c r="AY682" s="1" t="s">
        <v>74</v>
      </c>
      <c r="AZ682" s="1" t="s">
        <v>74</v>
      </c>
      <c r="BA682" s="1" t="s">
        <v>74</v>
      </c>
      <c r="BB682" s="1" t="s">
        <v>74</v>
      </c>
      <c r="BC682" s="1" t="s">
        <v>74</v>
      </c>
      <c r="BD682" s="1">
        <v>3101.0</v>
      </c>
      <c r="BE682" s="1" t="s">
        <v>6923</v>
      </c>
      <c r="BF682" s="2" t="str">
        <f>HYPERLINK("http://dx.doi.org/10.3390/ma15093101","http://dx.doi.org/10.3390/ma15093101")</f>
        <v>http://dx.doi.org/10.3390/ma15093101</v>
      </c>
      <c r="BG682" s="1" t="s">
        <v>74</v>
      </c>
      <c r="BH682" s="1" t="s">
        <v>74</v>
      </c>
      <c r="BI682" s="1" t="s">
        <v>74</v>
      </c>
      <c r="BJ682" s="1" t="s">
        <v>74</v>
      </c>
      <c r="BK682" s="1" t="s">
        <v>74</v>
      </c>
      <c r="BL682" s="1" t="s">
        <v>74</v>
      </c>
      <c r="BM682" s="1" t="s">
        <v>74</v>
      </c>
      <c r="BN682" s="1">
        <v>3.5591435E7</v>
      </c>
      <c r="BO682" s="1" t="s">
        <v>74</v>
      </c>
      <c r="BP682" s="1" t="s">
        <v>74</v>
      </c>
      <c r="BQ682" s="1" t="s">
        <v>74</v>
      </c>
      <c r="BR682" s="1" t="s">
        <v>74</v>
      </c>
      <c r="BS682" s="1" t="s">
        <v>6924</v>
      </c>
      <c r="BT682" s="1" t="str">
        <f>HYPERLINK("https%3A%2F%2Fwww.webofscience.com%2Fwos%2Fwoscc%2Ffull-record%2FWOS:000795235700001","View Full Record in Web of Science")</f>
        <v>View Full Record in Web of Science</v>
      </c>
    </row>
    <row r="683" ht="12.75" customHeight="1">
      <c r="A683" s="1" t="s">
        <v>72</v>
      </c>
      <c r="B683" s="1" t="s">
        <v>6925</v>
      </c>
      <c r="C683" s="1" t="s">
        <v>74</v>
      </c>
      <c r="D683" s="1" t="s">
        <v>74</v>
      </c>
      <c r="E683" s="1" t="s">
        <v>74</v>
      </c>
      <c r="F683" s="1" t="s">
        <v>6926</v>
      </c>
      <c r="G683" s="1" t="s">
        <v>74</v>
      </c>
      <c r="H683" s="1" t="s">
        <v>74</v>
      </c>
      <c r="I683" s="1" t="s">
        <v>6927</v>
      </c>
      <c r="J683" s="1" t="s">
        <v>6928</v>
      </c>
      <c r="K683" s="1" t="s">
        <v>74</v>
      </c>
      <c r="L683" s="1" t="s">
        <v>74</v>
      </c>
      <c r="M683" s="1" t="s">
        <v>74</v>
      </c>
      <c r="N683" s="1" t="s">
        <v>74</v>
      </c>
      <c r="O683" s="1" t="s">
        <v>74</v>
      </c>
      <c r="P683" s="1" t="s">
        <v>74</v>
      </c>
      <c r="Q683" s="1" t="s">
        <v>74</v>
      </c>
      <c r="R683" s="1" t="s">
        <v>74</v>
      </c>
      <c r="S683" s="1" t="s">
        <v>74</v>
      </c>
      <c r="T683" s="1" t="s">
        <v>74</v>
      </c>
      <c r="U683" s="1" t="s">
        <v>74</v>
      </c>
      <c r="V683" s="1" t="s">
        <v>6929</v>
      </c>
      <c r="W683" s="1" t="s">
        <v>74</v>
      </c>
      <c r="X683" s="1" t="s">
        <v>74</v>
      </c>
      <c r="Y683" s="1" t="s">
        <v>74</v>
      </c>
      <c r="Z683" s="1" t="s">
        <v>74</v>
      </c>
      <c r="AA683" s="1" t="s">
        <v>6930</v>
      </c>
      <c r="AB683" s="1" t="s">
        <v>6931</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6932</v>
      </c>
      <c r="AP683" s="1" t="s">
        <v>74</v>
      </c>
      <c r="AQ683" s="1" t="s">
        <v>74</v>
      </c>
      <c r="AR683" s="1" t="s">
        <v>74</v>
      </c>
      <c r="AS683" s="1" t="s">
        <v>74</v>
      </c>
      <c r="AT683" s="1" t="s">
        <v>6933</v>
      </c>
      <c r="AU683" s="1">
        <v>2023.0</v>
      </c>
      <c r="AV683" s="1">
        <v>19.0</v>
      </c>
      <c r="AW683" s="1">
        <v>1.0</v>
      </c>
      <c r="AX683" s="1" t="s">
        <v>74</v>
      </c>
      <c r="AY683" s="1" t="s">
        <v>74</v>
      </c>
      <c r="AZ683" s="1" t="s">
        <v>74</v>
      </c>
      <c r="BA683" s="1" t="s">
        <v>74</v>
      </c>
      <c r="BB683" s="1" t="s">
        <v>74</v>
      </c>
      <c r="BC683" s="1" t="s">
        <v>74</v>
      </c>
      <c r="BD683" s="1" t="s">
        <v>74</v>
      </c>
      <c r="BE683" s="1" t="s">
        <v>6934</v>
      </c>
      <c r="BF683" s="2" t="str">
        <f>HYPERLINK("http://dx.doi.org/10.1080/17445647.2022.2153091","http://dx.doi.org/10.1080/17445647.2022.2153091")</f>
        <v>http://dx.doi.org/10.1080/17445647.2022.2153091</v>
      </c>
      <c r="BG683" s="1" t="s">
        <v>74</v>
      </c>
      <c r="BH683" s="1" t="s">
        <v>835</v>
      </c>
      <c r="BI683" s="1" t="s">
        <v>74</v>
      </c>
      <c r="BJ683" s="1" t="s">
        <v>74</v>
      </c>
      <c r="BK683" s="1" t="s">
        <v>74</v>
      </c>
      <c r="BL683" s="1" t="s">
        <v>74</v>
      </c>
      <c r="BM683" s="1" t="s">
        <v>74</v>
      </c>
      <c r="BN683" s="1" t="s">
        <v>74</v>
      </c>
      <c r="BO683" s="1" t="s">
        <v>74</v>
      </c>
      <c r="BP683" s="1" t="s">
        <v>74</v>
      </c>
      <c r="BQ683" s="1" t="s">
        <v>74</v>
      </c>
      <c r="BR683" s="1" t="s">
        <v>74</v>
      </c>
      <c r="BS683" s="1" t="s">
        <v>6935</v>
      </c>
      <c r="BT683" s="1" t="str">
        <f>HYPERLINK("https%3A%2F%2Fwww.webofscience.com%2Fwos%2Fwoscc%2Ffull-record%2FWOS:000982080300001","View Full Record in Web of Science")</f>
        <v>View Full Record in Web of Science</v>
      </c>
    </row>
    <row r="684" ht="12.75" customHeight="1">
      <c r="A684" s="1" t="s">
        <v>72</v>
      </c>
      <c r="B684" s="1" t="s">
        <v>6936</v>
      </c>
      <c r="C684" s="1" t="s">
        <v>74</v>
      </c>
      <c r="D684" s="1" t="s">
        <v>74</v>
      </c>
      <c r="E684" s="1" t="s">
        <v>74</v>
      </c>
      <c r="F684" s="1" t="s">
        <v>6937</v>
      </c>
      <c r="G684" s="1" t="s">
        <v>74</v>
      </c>
      <c r="H684" s="1" t="s">
        <v>74</v>
      </c>
      <c r="I684" s="1" t="s">
        <v>6938</v>
      </c>
      <c r="J684" s="1" t="s">
        <v>480</v>
      </c>
      <c r="K684" s="1" t="s">
        <v>74</v>
      </c>
      <c r="L684" s="1" t="s">
        <v>74</v>
      </c>
      <c r="M684" s="1" t="s">
        <v>74</v>
      </c>
      <c r="N684" s="1" t="s">
        <v>74</v>
      </c>
      <c r="O684" s="1" t="s">
        <v>74</v>
      </c>
      <c r="P684" s="1" t="s">
        <v>74</v>
      </c>
      <c r="Q684" s="1" t="s">
        <v>74</v>
      </c>
      <c r="R684" s="1" t="s">
        <v>74</v>
      </c>
      <c r="S684" s="1" t="s">
        <v>74</v>
      </c>
      <c r="T684" s="1" t="s">
        <v>74</v>
      </c>
      <c r="U684" s="1" t="s">
        <v>74</v>
      </c>
      <c r="V684" s="1" t="s">
        <v>6939</v>
      </c>
      <c r="W684" s="1" t="s">
        <v>74</v>
      </c>
      <c r="X684" s="1" t="s">
        <v>74</v>
      </c>
      <c r="Y684" s="1" t="s">
        <v>74</v>
      </c>
      <c r="Z684" s="1" t="s">
        <v>74</v>
      </c>
      <c r="AA684" s="1" t="s">
        <v>6940</v>
      </c>
      <c r="AB684" s="1" t="s">
        <v>6941</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484</v>
      </c>
      <c r="AP684" s="1" t="s">
        <v>74</v>
      </c>
      <c r="AQ684" s="1" t="s">
        <v>74</v>
      </c>
      <c r="AR684" s="1" t="s">
        <v>74</v>
      </c>
      <c r="AS684" s="1" t="s">
        <v>74</v>
      </c>
      <c r="AT684" s="1" t="s">
        <v>3156</v>
      </c>
      <c r="AU684" s="1">
        <v>2020.0</v>
      </c>
      <c r="AV684" s="1">
        <v>10.0</v>
      </c>
      <c r="AW684" s="1">
        <v>1.0</v>
      </c>
      <c r="AX684" s="1" t="s">
        <v>74</v>
      </c>
      <c r="AY684" s="1" t="s">
        <v>74</v>
      </c>
      <c r="AZ684" s="1" t="s">
        <v>74</v>
      </c>
      <c r="BA684" s="1" t="s">
        <v>74</v>
      </c>
      <c r="BB684" s="1" t="s">
        <v>74</v>
      </c>
      <c r="BC684" s="1" t="s">
        <v>74</v>
      </c>
      <c r="BD684" s="1">
        <v>14131.0</v>
      </c>
      <c r="BE684" s="1" t="s">
        <v>6942</v>
      </c>
      <c r="BF684" s="2" t="str">
        <f>HYPERLINK("http://dx.doi.org/10.1038/s41598-020-70451-x","http://dx.doi.org/10.1038/s41598-020-70451-x")</f>
        <v>http://dx.doi.org/10.1038/s41598-020-70451-x</v>
      </c>
      <c r="BG684" s="1" t="s">
        <v>74</v>
      </c>
      <c r="BH684" s="1" t="s">
        <v>74</v>
      </c>
      <c r="BI684" s="1" t="s">
        <v>74</v>
      </c>
      <c r="BJ684" s="1" t="s">
        <v>74</v>
      </c>
      <c r="BK684" s="1" t="s">
        <v>74</v>
      </c>
      <c r="BL684" s="1" t="s">
        <v>74</v>
      </c>
      <c r="BM684" s="1" t="s">
        <v>74</v>
      </c>
      <c r="BN684" s="1">
        <v>3.2839479E7</v>
      </c>
      <c r="BO684" s="1" t="s">
        <v>74</v>
      </c>
      <c r="BP684" s="1" t="s">
        <v>74</v>
      </c>
      <c r="BQ684" s="1" t="s">
        <v>74</v>
      </c>
      <c r="BR684" s="1" t="s">
        <v>74</v>
      </c>
      <c r="BS684" s="1" t="s">
        <v>6943</v>
      </c>
      <c r="BT684" s="1" t="str">
        <f>HYPERLINK("https%3A%2F%2Fwww.webofscience.com%2Fwos%2Fwoscc%2Ffull-record%2FWOS:000568842200013","View Full Record in Web of Science")</f>
        <v>View Full Record in Web of Science</v>
      </c>
    </row>
    <row r="685" ht="12.75" customHeight="1">
      <c r="A685" s="1" t="s">
        <v>72</v>
      </c>
      <c r="B685" s="1" t="s">
        <v>6944</v>
      </c>
      <c r="C685" s="1" t="s">
        <v>74</v>
      </c>
      <c r="D685" s="1" t="s">
        <v>74</v>
      </c>
      <c r="E685" s="1" t="s">
        <v>74</v>
      </c>
      <c r="F685" s="1" t="s">
        <v>6945</v>
      </c>
      <c r="G685" s="1" t="s">
        <v>74</v>
      </c>
      <c r="H685" s="1" t="s">
        <v>74</v>
      </c>
      <c r="I685" s="1" t="s">
        <v>6946</v>
      </c>
      <c r="J685" s="1" t="s">
        <v>1923</v>
      </c>
      <c r="K685" s="1" t="s">
        <v>74</v>
      </c>
      <c r="L685" s="1" t="s">
        <v>74</v>
      </c>
      <c r="M685" s="1" t="s">
        <v>74</v>
      </c>
      <c r="N685" s="1" t="s">
        <v>74</v>
      </c>
      <c r="O685" s="1" t="s">
        <v>74</v>
      </c>
      <c r="P685" s="1" t="s">
        <v>74</v>
      </c>
      <c r="Q685" s="1" t="s">
        <v>74</v>
      </c>
      <c r="R685" s="1" t="s">
        <v>74</v>
      </c>
      <c r="S685" s="1" t="s">
        <v>74</v>
      </c>
      <c r="T685" s="1" t="s">
        <v>74</v>
      </c>
      <c r="U685" s="1" t="s">
        <v>74</v>
      </c>
      <c r="V685" s="1" t="s">
        <v>6947</v>
      </c>
      <c r="W685" s="1" t="s">
        <v>74</v>
      </c>
      <c r="X685" s="1" t="s">
        <v>74</v>
      </c>
      <c r="Y685" s="1" t="s">
        <v>74</v>
      </c>
      <c r="Z685" s="1" t="s">
        <v>74</v>
      </c>
      <c r="AA685" s="1" t="s">
        <v>6948</v>
      </c>
      <c r="AB685" s="1" t="s">
        <v>6949</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1927</v>
      </c>
      <c r="AP685" s="1" t="s">
        <v>1928</v>
      </c>
      <c r="AQ685" s="1" t="s">
        <v>74</v>
      </c>
      <c r="AR685" s="1" t="s">
        <v>74</v>
      </c>
      <c r="AS685" s="1" t="s">
        <v>74</v>
      </c>
      <c r="AT685" s="1" t="s">
        <v>141</v>
      </c>
      <c r="AU685" s="1">
        <v>2021.0</v>
      </c>
      <c r="AV685" s="1">
        <v>31.0</v>
      </c>
      <c r="AW685" s="1">
        <v>9.0</v>
      </c>
      <c r="AX685" s="1" t="s">
        <v>74</v>
      </c>
      <c r="AY685" s="1" t="s">
        <v>74</v>
      </c>
      <c r="AZ685" s="1" t="s">
        <v>74</v>
      </c>
      <c r="BA685" s="1" t="s">
        <v>74</v>
      </c>
      <c r="BB685" s="1">
        <v>1745.0</v>
      </c>
      <c r="BC685" s="1">
        <v>1752.0</v>
      </c>
      <c r="BD685" s="1" t="s">
        <v>74</v>
      </c>
      <c r="BE685" s="1" t="s">
        <v>6950</v>
      </c>
      <c r="BF685" s="2" t="str">
        <f>HYPERLINK("http://dx.doi.org/10.1111/sms.13980","http://dx.doi.org/10.1111/sms.13980")</f>
        <v>http://dx.doi.org/10.1111/sms.13980</v>
      </c>
      <c r="BG685" s="1" t="s">
        <v>74</v>
      </c>
      <c r="BH685" s="1" t="s">
        <v>2303</v>
      </c>
      <c r="BI685" s="1" t="s">
        <v>74</v>
      </c>
      <c r="BJ685" s="1" t="s">
        <v>74</v>
      </c>
      <c r="BK685" s="1" t="s">
        <v>74</v>
      </c>
      <c r="BL685" s="1" t="s">
        <v>74</v>
      </c>
      <c r="BM685" s="1" t="s">
        <v>74</v>
      </c>
      <c r="BN685" s="1">
        <v>3.3909308E7</v>
      </c>
      <c r="BO685" s="1" t="s">
        <v>74</v>
      </c>
      <c r="BP685" s="1" t="s">
        <v>74</v>
      </c>
      <c r="BQ685" s="1" t="s">
        <v>74</v>
      </c>
      <c r="BR685" s="1" t="s">
        <v>74</v>
      </c>
      <c r="BS685" s="1" t="s">
        <v>6951</v>
      </c>
      <c r="BT685" s="1" t="str">
        <f>HYPERLINK("https%3A%2F%2Fwww.webofscience.com%2Fwos%2Fwoscc%2Ffull-record%2FWOS:000650187700001","View Full Record in Web of Science")</f>
        <v>View Full Record in Web of Science</v>
      </c>
    </row>
    <row r="686" ht="12.75" customHeight="1">
      <c r="A686" s="1" t="s">
        <v>72</v>
      </c>
      <c r="B686" s="1" t="s">
        <v>6952</v>
      </c>
      <c r="C686" s="1" t="s">
        <v>74</v>
      </c>
      <c r="D686" s="1" t="s">
        <v>74</v>
      </c>
      <c r="E686" s="1" t="s">
        <v>74</v>
      </c>
      <c r="F686" s="1" t="s">
        <v>6953</v>
      </c>
      <c r="G686" s="1" t="s">
        <v>74</v>
      </c>
      <c r="H686" s="1" t="s">
        <v>74</v>
      </c>
      <c r="I686" s="1" t="s">
        <v>6954</v>
      </c>
      <c r="J686" s="1" t="s">
        <v>1237</v>
      </c>
      <c r="K686" s="1" t="s">
        <v>74</v>
      </c>
      <c r="L686" s="1" t="s">
        <v>74</v>
      </c>
      <c r="M686" s="1" t="s">
        <v>74</v>
      </c>
      <c r="N686" s="1" t="s">
        <v>74</v>
      </c>
      <c r="O686" s="1" t="s">
        <v>74</v>
      </c>
      <c r="P686" s="1" t="s">
        <v>74</v>
      </c>
      <c r="Q686" s="1" t="s">
        <v>74</v>
      </c>
      <c r="R686" s="1" t="s">
        <v>74</v>
      </c>
      <c r="S686" s="1" t="s">
        <v>74</v>
      </c>
      <c r="T686" s="1" t="s">
        <v>74</v>
      </c>
      <c r="U686" s="1" t="s">
        <v>74</v>
      </c>
      <c r="V686" s="1" t="s">
        <v>6955</v>
      </c>
      <c r="W686" s="1" t="s">
        <v>74</v>
      </c>
      <c r="X686" s="1" t="s">
        <v>74</v>
      </c>
      <c r="Y686" s="1" t="s">
        <v>74</v>
      </c>
      <c r="Z686" s="1" t="s">
        <v>74</v>
      </c>
      <c r="AA686" s="1" t="s">
        <v>6956</v>
      </c>
      <c r="AB686" s="1" t="s">
        <v>74</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1241</v>
      </c>
      <c r="AP686" s="1" t="s">
        <v>1242</v>
      </c>
      <c r="AQ686" s="1" t="s">
        <v>74</v>
      </c>
      <c r="AR686" s="1" t="s">
        <v>74</v>
      </c>
      <c r="AS686" s="1" t="s">
        <v>74</v>
      </c>
      <c r="AT686" s="1" t="s">
        <v>74</v>
      </c>
      <c r="AU686" s="1">
        <v>2020.0</v>
      </c>
      <c r="AV686" s="1" t="s">
        <v>74</v>
      </c>
      <c r="AW686" s="1">
        <v>38.0</v>
      </c>
      <c r="AX686" s="1" t="s">
        <v>74</v>
      </c>
      <c r="AY686" s="1" t="s">
        <v>74</v>
      </c>
      <c r="AZ686" s="1" t="s">
        <v>74</v>
      </c>
      <c r="BA686" s="1" t="s">
        <v>74</v>
      </c>
      <c r="BB686" s="1">
        <v>312.0</v>
      </c>
      <c r="BC686" s="1">
        <v>316.0</v>
      </c>
      <c r="BD686" s="1" t="s">
        <v>74</v>
      </c>
      <c r="BE686" s="1" t="s">
        <v>74</v>
      </c>
      <c r="BF686" s="1" t="s">
        <v>74</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6957</v>
      </c>
      <c r="BT686" s="1" t="str">
        <f>HYPERLINK("https%3A%2F%2Fwww.webofscience.com%2Fwos%2Fwoscc%2Ffull-record%2FWOS:000535742500047","View Full Record in Web of Science")</f>
        <v>View Full Record in Web of Science</v>
      </c>
    </row>
    <row r="687" ht="12.75" customHeight="1">
      <c r="A687" s="1" t="s">
        <v>72</v>
      </c>
      <c r="B687" s="1" t="s">
        <v>6958</v>
      </c>
      <c r="C687" s="1" t="s">
        <v>74</v>
      </c>
      <c r="D687" s="1" t="s">
        <v>74</v>
      </c>
      <c r="E687" s="1" t="s">
        <v>74</v>
      </c>
      <c r="F687" s="1" t="s">
        <v>6959</v>
      </c>
      <c r="G687" s="1" t="s">
        <v>74</v>
      </c>
      <c r="H687" s="1" t="s">
        <v>74</v>
      </c>
      <c r="I687" s="1" t="s">
        <v>6960</v>
      </c>
      <c r="J687" s="1" t="s">
        <v>5430</v>
      </c>
      <c r="K687" s="1" t="s">
        <v>74</v>
      </c>
      <c r="L687" s="1" t="s">
        <v>74</v>
      </c>
      <c r="M687" s="1" t="s">
        <v>74</v>
      </c>
      <c r="N687" s="1" t="s">
        <v>74</v>
      </c>
      <c r="O687" s="1" t="s">
        <v>74</v>
      </c>
      <c r="P687" s="1" t="s">
        <v>74</v>
      </c>
      <c r="Q687" s="1" t="s">
        <v>74</v>
      </c>
      <c r="R687" s="1" t="s">
        <v>74</v>
      </c>
      <c r="S687" s="1" t="s">
        <v>74</v>
      </c>
      <c r="T687" s="1" t="s">
        <v>74</v>
      </c>
      <c r="U687" s="1" t="s">
        <v>74</v>
      </c>
      <c r="V687" s="1" t="s">
        <v>6961</v>
      </c>
      <c r="W687" s="1" t="s">
        <v>74</v>
      </c>
      <c r="X687" s="1" t="s">
        <v>74</v>
      </c>
      <c r="Y687" s="1" t="s">
        <v>74</v>
      </c>
      <c r="Z687" s="1" t="s">
        <v>74</v>
      </c>
      <c r="AA687" s="1" t="s">
        <v>6962</v>
      </c>
      <c r="AB687" s="1" t="s">
        <v>6963</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5434</v>
      </c>
      <c r="AP687" s="1" t="s">
        <v>5435</v>
      </c>
      <c r="AQ687" s="1" t="s">
        <v>74</v>
      </c>
      <c r="AR687" s="1" t="s">
        <v>74</v>
      </c>
      <c r="AS687" s="1" t="s">
        <v>74</v>
      </c>
      <c r="AT687" s="1" t="s">
        <v>346</v>
      </c>
      <c r="AU687" s="1">
        <v>2018.0</v>
      </c>
      <c r="AV687" s="1">
        <v>27.0</v>
      </c>
      <c r="AW687" s="1">
        <v>3.0</v>
      </c>
      <c r="AX687" s="1" t="s">
        <v>74</v>
      </c>
      <c r="AY687" s="1" t="s">
        <v>74</v>
      </c>
      <c r="AZ687" s="1" t="s">
        <v>74</v>
      </c>
      <c r="BA687" s="1" t="s">
        <v>74</v>
      </c>
      <c r="BB687" s="1">
        <v>780.0</v>
      </c>
      <c r="BC687" s="1">
        <v>792.0</v>
      </c>
      <c r="BD687" s="1" t="s">
        <v>74</v>
      </c>
      <c r="BE687" s="1" t="s">
        <v>6964</v>
      </c>
      <c r="BF687" s="2" t="str">
        <f>HYPERLINK("http://dx.doi.org/10.1007/s10826-017-0930-2","http://dx.doi.org/10.1007/s10826-017-0930-2")</f>
        <v>http://dx.doi.org/10.1007/s10826-017-0930-2</v>
      </c>
      <c r="BG687" s="1" t="s">
        <v>74</v>
      </c>
      <c r="BH687" s="1" t="s">
        <v>74</v>
      </c>
      <c r="BI687" s="1" t="s">
        <v>74</v>
      </c>
      <c r="BJ687" s="1" t="s">
        <v>74</v>
      </c>
      <c r="BK687" s="1" t="s">
        <v>74</v>
      </c>
      <c r="BL687" s="1" t="s">
        <v>74</v>
      </c>
      <c r="BM687" s="1" t="s">
        <v>74</v>
      </c>
      <c r="BN687" s="1" t="s">
        <v>74</v>
      </c>
      <c r="BO687" s="1" t="s">
        <v>74</v>
      </c>
      <c r="BP687" s="1" t="s">
        <v>74</v>
      </c>
      <c r="BQ687" s="1" t="s">
        <v>74</v>
      </c>
      <c r="BR687" s="1" t="s">
        <v>74</v>
      </c>
      <c r="BS687" s="1" t="s">
        <v>6965</v>
      </c>
      <c r="BT687" s="1" t="str">
        <f>HYPERLINK("https%3A%2F%2Fwww.webofscience.com%2Fwos%2Fwoscc%2Ffull-record%2FWOS:000426297700011","View Full Record in Web of Science")</f>
        <v>View Full Record in Web of Science</v>
      </c>
    </row>
    <row r="688" ht="12.75" customHeight="1">
      <c r="A688" s="1" t="s">
        <v>72</v>
      </c>
      <c r="B688" s="1" t="s">
        <v>6966</v>
      </c>
      <c r="C688" s="1" t="s">
        <v>74</v>
      </c>
      <c r="D688" s="1" t="s">
        <v>74</v>
      </c>
      <c r="E688" s="1" t="s">
        <v>74</v>
      </c>
      <c r="F688" s="1" t="s">
        <v>6967</v>
      </c>
      <c r="G688" s="1" t="s">
        <v>74</v>
      </c>
      <c r="H688" s="1" t="s">
        <v>74</v>
      </c>
      <c r="I688" s="1" t="s">
        <v>6968</v>
      </c>
      <c r="J688" s="1" t="s">
        <v>6969</v>
      </c>
      <c r="K688" s="1" t="s">
        <v>74</v>
      </c>
      <c r="L688" s="1" t="s">
        <v>74</v>
      </c>
      <c r="M688" s="1" t="s">
        <v>74</v>
      </c>
      <c r="N688" s="1" t="s">
        <v>74</v>
      </c>
      <c r="O688" s="1" t="s">
        <v>74</v>
      </c>
      <c r="P688" s="1" t="s">
        <v>74</v>
      </c>
      <c r="Q688" s="1" t="s">
        <v>74</v>
      </c>
      <c r="R688" s="1" t="s">
        <v>74</v>
      </c>
      <c r="S688" s="1" t="s">
        <v>74</v>
      </c>
      <c r="T688" s="1" t="s">
        <v>74</v>
      </c>
      <c r="U688" s="1" t="s">
        <v>74</v>
      </c>
      <c r="V688" s="1" t="s">
        <v>6970</v>
      </c>
      <c r="W688" s="1" t="s">
        <v>74</v>
      </c>
      <c r="X688" s="1" t="s">
        <v>74</v>
      </c>
      <c r="Y688" s="1" t="s">
        <v>74</v>
      </c>
      <c r="Z688" s="1" t="s">
        <v>74</v>
      </c>
      <c r="AA688" s="1" t="s">
        <v>6971</v>
      </c>
      <c r="AB688" s="1" t="s">
        <v>6972</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6973</v>
      </c>
      <c r="AP688" s="1" t="s">
        <v>6974</v>
      </c>
      <c r="AQ688" s="1" t="s">
        <v>74</v>
      </c>
      <c r="AR688" s="1" t="s">
        <v>74</v>
      </c>
      <c r="AS688" s="1" t="s">
        <v>74</v>
      </c>
      <c r="AT688" s="1" t="s">
        <v>264</v>
      </c>
      <c r="AU688" s="1">
        <v>2022.0</v>
      </c>
      <c r="AV688" s="1">
        <v>58.0</v>
      </c>
      <c r="AW688" s="1">
        <v>1.0</v>
      </c>
      <c r="AX688" s="1" t="s">
        <v>74</v>
      </c>
      <c r="AY688" s="1" t="s">
        <v>74</v>
      </c>
      <c r="AZ688" s="1" t="s">
        <v>74</v>
      </c>
      <c r="BA688" s="1" t="s">
        <v>74</v>
      </c>
      <c r="BB688" s="1">
        <v>8.0</v>
      </c>
      <c r="BC688" s="1">
        <v>14.0</v>
      </c>
      <c r="BD688" s="1" t="s">
        <v>74</v>
      </c>
      <c r="BE688" s="1" t="s">
        <v>6975</v>
      </c>
      <c r="BF688" s="2" t="str">
        <f>HYPERLINK("http://dx.doi.org/10.7589/JWD-D-21-00057","http://dx.doi.org/10.7589/JWD-D-21-00057")</f>
        <v>http://dx.doi.org/10.7589/JWD-D-21-00057</v>
      </c>
      <c r="BG688" s="1" t="s">
        <v>74</v>
      </c>
      <c r="BH688" s="1" t="s">
        <v>74</v>
      </c>
      <c r="BI688" s="1" t="s">
        <v>74</v>
      </c>
      <c r="BJ688" s="1" t="s">
        <v>74</v>
      </c>
      <c r="BK688" s="1" t="s">
        <v>74</v>
      </c>
      <c r="BL688" s="1" t="s">
        <v>74</v>
      </c>
      <c r="BM688" s="1" t="s">
        <v>74</v>
      </c>
      <c r="BN688" s="1">
        <v>3.479791E7</v>
      </c>
      <c r="BO688" s="1" t="s">
        <v>74</v>
      </c>
      <c r="BP688" s="1" t="s">
        <v>74</v>
      </c>
      <c r="BQ688" s="1" t="s">
        <v>74</v>
      </c>
      <c r="BR688" s="1" t="s">
        <v>74</v>
      </c>
      <c r="BS688" s="1" t="s">
        <v>6976</v>
      </c>
      <c r="BT688" s="1" t="str">
        <f>HYPERLINK("https%3A%2F%2Fwww.webofscience.com%2Fwos%2Fwoscc%2Ffull-record%2FWOS:000741812000002","View Full Record in Web of Science")</f>
        <v>View Full Record in Web of Science</v>
      </c>
    </row>
    <row r="689" ht="12.75" customHeight="1">
      <c r="A689" s="1" t="s">
        <v>72</v>
      </c>
      <c r="B689" s="1" t="s">
        <v>6977</v>
      </c>
      <c r="C689" s="1" t="s">
        <v>74</v>
      </c>
      <c r="D689" s="1" t="s">
        <v>74</v>
      </c>
      <c r="E689" s="1" t="s">
        <v>74</v>
      </c>
      <c r="F689" s="1" t="s">
        <v>6978</v>
      </c>
      <c r="G689" s="1" t="s">
        <v>74</v>
      </c>
      <c r="H689" s="1" t="s">
        <v>74</v>
      </c>
      <c r="I689" s="1" t="s">
        <v>6979</v>
      </c>
      <c r="J689" s="1" t="s">
        <v>6980</v>
      </c>
      <c r="K689" s="1" t="s">
        <v>74</v>
      </c>
      <c r="L689" s="1" t="s">
        <v>74</v>
      </c>
      <c r="M689" s="1" t="s">
        <v>74</v>
      </c>
      <c r="N689" s="1" t="s">
        <v>74</v>
      </c>
      <c r="O689" s="1" t="s">
        <v>74</v>
      </c>
      <c r="P689" s="1" t="s">
        <v>74</v>
      </c>
      <c r="Q689" s="1" t="s">
        <v>74</v>
      </c>
      <c r="R689" s="1" t="s">
        <v>74</v>
      </c>
      <c r="S689" s="1" t="s">
        <v>74</v>
      </c>
      <c r="T689" s="1" t="s">
        <v>74</v>
      </c>
      <c r="U689" s="1" t="s">
        <v>74</v>
      </c>
      <c r="V689" s="1" t="s">
        <v>6981</v>
      </c>
      <c r="W689" s="1" t="s">
        <v>74</v>
      </c>
      <c r="X689" s="1" t="s">
        <v>74</v>
      </c>
      <c r="Y689" s="1" t="s">
        <v>74</v>
      </c>
      <c r="Z689" s="1" t="s">
        <v>74</v>
      </c>
      <c r="AA689" s="1" t="s">
        <v>6982</v>
      </c>
      <c r="AB689" s="1" t="s">
        <v>6983</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6984</v>
      </c>
      <c r="AP689" s="1" t="s">
        <v>6985</v>
      </c>
      <c r="AQ689" s="1" t="s">
        <v>74</v>
      </c>
      <c r="AR689" s="1" t="s">
        <v>74</v>
      </c>
      <c r="AS689" s="1" t="s">
        <v>74</v>
      </c>
      <c r="AT689" s="1" t="s">
        <v>118</v>
      </c>
      <c r="AU689" s="1">
        <v>2021.0</v>
      </c>
      <c r="AV689" s="1">
        <v>497.0</v>
      </c>
      <c r="AW689" s="1" t="s">
        <v>74</v>
      </c>
      <c r="AX689" s="1" t="s">
        <v>74</v>
      </c>
      <c r="AY689" s="1" t="s">
        <v>74</v>
      </c>
      <c r="AZ689" s="1" t="s">
        <v>74</v>
      </c>
      <c r="BA689" s="1" t="s">
        <v>74</v>
      </c>
      <c r="BB689" s="1" t="s">
        <v>74</v>
      </c>
      <c r="BC689" s="1" t="s">
        <v>74</v>
      </c>
      <c r="BD689" s="1">
        <v>119519.0</v>
      </c>
      <c r="BE689" s="1" t="s">
        <v>6986</v>
      </c>
      <c r="BF689" s="2" t="str">
        <f>HYPERLINK("http://dx.doi.org/10.1016/j.foreco.2021.119519","http://dx.doi.org/10.1016/j.foreco.2021.119519")</f>
        <v>http://dx.doi.org/10.1016/j.foreco.2021.119519</v>
      </c>
      <c r="BG689" s="1" t="s">
        <v>74</v>
      </c>
      <c r="BH689" s="1" t="s">
        <v>460</v>
      </c>
      <c r="BI689" s="1" t="s">
        <v>74</v>
      </c>
      <c r="BJ689" s="1" t="s">
        <v>74</v>
      </c>
      <c r="BK689" s="1" t="s">
        <v>74</v>
      </c>
      <c r="BL689" s="1" t="s">
        <v>74</v>
      </c>
      <c r="BM689" s="1" t="s">
        <v>74</v>
      </c>
      <c r="BN689" s="1" t="s">
        <v>74</v>
      </c>
      <c r="BO689" s="1" t="s">
        <v>74</v>
      </c>
      <c r="BP689" s="1" t="s">
        <v>74</v>
      </c>
      <c r="BQ689" s="1" t="s">
        <v>74</v>
      </c>
      <c r="BR689" s="1" t="s">
        <v>74</v>
      </c>
      <c r="BS689" s="1" t="s">
        <v>6987</v>
      </c>
      <c r="BT689" s="1" t="str">
        <f>HYPERLINK("https%3A%2F%2Fwww.webofscience.com%2Fwos%2Fwoscc%2Ffull-record%2FWOS:000684973100001","View Full Record in Web of Science")</f>
        <v>View Full Record in Web of Science</v>
      </c>
    </row>
    <row r="690" ht="12.75" customHeight="1">
      <c r="A690" s="1" t="s">
        <v>72</v>
      </c>
      <c r="B690" s="1" t="s">
        <v>6988</v>
      </c>
      <c r="C690" s="1" t="s">
        <v>74</v>
      </c>
      <c r="D690" s="1" t="s">
        <v>74</v>
      </c>
      <c r="E690" s="1" t="s">
        <v>74</v>
      </c>
      <c r="F690" s="1" t="s">
        <v>6989</v>
      </c>
      <c r="G690" s="1" t="s">
        <v>74</v>
      </c>
      <c r="H690" s="1" t="s">
        <v>74</v>
      </c>
      <c r="I690" s="1" t="s">
        <v>6990</v>
      </c>
      <c r="J690" s="1" t="s">
        <v>1003</v>
      </c>
      <c r="K690" s="1" t="s">
        <v>74</v>
      </c>
      <c r="L690" s="1" t="s">
        <v>74</v>
      </c>
      <c r="M690" s="1" t="s">
        <v>74</v>
      </c>
      <c r="N690" s="1" t="s">
        <v>74</v>
      </c>
      <c r="O690" s="1" t="s">
        <v>74</v>
      </c>
      <c r="P690" s="1" t="s">
        <v>74</v>
      </c>
      <c r="Q690" s="1" t="s">
        <v>74</v>
      </c>
      <c r="R690" s="1" t="s">
        <v>74</v>
      </c>
      <c r="S690" s="1" t="s">
        <v>74</v>
      </c>
      <c r="T690" s="1" t="s">
        <v>74</v>
      </c>
      <c r="U690" s="1" t="s">
        <v>74</v>
      </c>
      <c r="V690" s="1" t="s">
        <v>6991</v>
      </c>
      <c r="W690" s="1" t="s">
        <v>74</v>
      </c>
      <c r="X690" s="1" t="s">
        <v>74</v>
      </c>
      <c r="Y690" s="1" t="s">
        <v>74</v>
      </c>
      <c r="Z690" s="1" t="s">
        <v>74</v>
      </c>
      <c r="AA690" s="1" t="s">
        <v>6992</v>
      </c>
      <c r="AB690" s="1" t="s">
        <v>6993</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1006</v>
      </c>
      <c r="AP690" s="1" t="s">
        <v>1007</v>
      </c>
      <c r="AQ690" s="1" t="s">
        <v>74</v>
      </c>
      <c r="AR690" s="1" t="s">
        <v>74</v>
      </c>
      <c r="AS690" s="1" t="s">
        <v>74</v>
      </c>
      <c r="AT690" s="1" t="s">
        <v>94</v>
      </c>
      <c r="AU690" s="1">
        <v>2019.0</v>
      </c>
      <c r="AV690" s="1">
        <v>147.0</v>
      </c>
      <c r="AW690" s="1">
        <v>12.0</v>
      </c>
      <c r="AX690" s="1" t="s">
        <v>74</v>
      </c>
      <c r="AY690" s="1" t="s">
        <v>74</v>
      </c>
      <c r="AZ690" s="1" t="s">
        <v>74</v>
      </c>
      <c r="BA690" s="1" t="s">
        <v>74</v>
      </c>
      <c r="BB690" s="1">
        <v>1561.0</v>
      </c>
      <c r="BC690" s="1">
        <v>1568.0</v>
      </c>
      <c r="BD690" s="1" t="s">
        <v>74</v>
      </c>
      <c r="BE690" s="1" t="s">
        <v>74</v>
      </c>
      <c r="BF690" s="1" t="s">
        <v>74</v>
      </c>
      <c r="BG690" s="1" t="s">
        <v>74</v>
      </c>
      <c r="BH690" s="1" t="s">
        <v>74</v>
      </c>
      <c r="BI690" s="1" t="s">
        <v>74</v>
      </c>
      <c r="BJ690" s="1" t="s">
        <v>74</v>
      </c>
      <c r="BK690" s="1" t="s">
        <v>74</v>
      </c>
      <c r="BL690" s="1" t="s">
        <v>74</v>
      </c>
      <c r="BM690" s="1" t="s">
        <v>74</v>
      </c>
      <c r="BN690" s="1">
        <v>3.218662E7</v>
      </c>
      <c r="BO690" s="1" t="s">
        <v>74</v>
      </c>
      <c r="BP690" s="1" t="s">
        <v>74</v>
      </c>
      <c r="BQ690" s="1" t="s">
        <v>74</v>
      </c>
      <c r="BR690" s="1" t="s">
        <v>74</v>
      </c>
      <c r="BS690" s="1" t="s">
        <v>6994</v>
      </c>
      <c r="BT690" s="1" t="str">
        <f>HYPERLINK("https%3A%2F%2Fwww.webofscience.com%2Fwos%2Fwoscc%2Ffull-record%2FWOS:000518385200008","View Full Record in Web of Science")</f>
        <v>View Full Record in Web of Science</v>
      </c>
    </row>
    <row r="691" ht="12.75" customHeight="1">
      <c r="A691" s="1" t="s">
        <v>72</v>
      </c>
      <c r="B691" s="1" t="s">
        <v>6995</v>
      </c>
      <c r="C691" s="1" t="s">
        <v>74</v>
      </c>
      <c r="D691" s="1" t="s">
        <v>74</v>
      </c>
      <c r="E691" s="1" t="s">
        <v>74</v>
      </c>
      <c r="F691" s="1" t="s">
        <v>6996</v>
      </c>
      <c r="G691" s="1" t="s">
        <v>74</v>
      </c>
      <c r="H691" s="1" t="s">
        <v>74</v>
      </c>
      <c r="I691" s="1" t="s">
        <v>6997</v>
      </c>
      <c r="J691" s="1" t="s">
        <v>2174</v>
      </c>
      <c r="K691" s="1" t="s">
        <v>74</v>
      </c>
      <c r="L691" s="1" t="s">
        <v>74</v>
      </c>
      <c r="M691" s="1" t="s">
        <v>74</v>
      </c>
      <c r="N691" s="1" t="s">
        <v>74</v>
      </c>
      <c r="O691" s="1" t="s">
        <v>74</v>
      </c>
      <c r="P691" s="1" t="s">
        <v>74</v>
      </c>
      <c r="Q691" s="1" t="s">
        <v>74</v>
      </c>
      <c r="R691" s="1" t="s">
        <v>74</v>
      </c>
      <c r="S691" s="1" t="s">
        <v>74</v>
      </c>
      <c r="T691" s="1" t="s">
        <v>74</v>
      </c>
      <c r="U691" s="1" t="s">
        <v>74</v>
      </c>
      <c r="V691" s="1" t="s">
        <v>6998</v>
      </c>
      <c r="W691" s="1" t="s">
        <v>74</v>
      </c>
      <c r="X691" s="1" t="s">
        <v>74</v>
      </c>
      <c r="Y691" s="1" t="s">
        <v>74</v>
      </c>
      <c r="Z691" s="1" t="s">
        <v>74</v>
      </c>
      <c r="AA691" s="1" t="s">
        <v>6999</v>
      </c>
      <c r="AB691" s="1" t="s">
        <v>7000</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2178</v>
      </c>
      <c r="AP691" s="1" t="s">
        <v>3825</v>
      </c>
      <c r="AQ691" s="1" t="s">
        <v>74</v>
      </c>
      <c r="AR691" s="1" t="s">
        <v>74</v>
      </c>
      <c r="AS691" s="1" t="s">
        <v>74</v>
      </c>
      <c r="AT691" s="1" t="s">
        <v>5197</v>
      </c>
      <c r="AU691" s="1">
        <v>2022.0</v>
      </c>
      <c r="AV691" s="1">
        <v>119.0</v>
      </c>
      <c r="AW691" s="1">
        <v>15.0</v>
      </c>
      <c r="AX691" s="1" t="s">
        <v>74</v>
      </c>
      <c r="AY691" s="1" t="s">
        <v>74</v>
      </c>
      <c r="AZ691" s="1" t="s">
        <v>74</v>
      </c>
      <c r="BA691" s="1" t="s">
        <v>74</v>
      </c>
      <c r="BB691" s="1" t="s">
        <v>74</v>
      </c>
      <c r="BC691" s="1" t="s">
        <v>74</v>
      </c>
      <c r="BD691" s="1" t="s">
        <v>7001</v>
      </c>
      <c r="BE691" s="1" t="s">
        <v>7002</v>
      </c>
      <c r="BF691" s="2" t="str">
        <f>HYPERLINK("http://dx.doi.org/10.1073/pnas.2114905119","http://dx.doi.org/10.1073/pnas.2114905119")</f>
        <v>http://dx.doi.org/10.1073/pnas.2114905119</v>
      </c>
      <c r="BG691" s="1" t="s">
        <v>74</v>
      </c>
      <c r="BH691" s="1" t="s">
        <v>74</v>
      </c>
      <c r="BI691" s="1" t="s">
        <v>74</v>
      </c>
      <c r="BJ691" s="1" t="s">
        <v>74</v>
      </c>
      <c r="BK691" s="1" t="s">
        <v>74</v>
      </c>
      <c r="BL691" s="1" t="s">
        <v>74</v>
      </c>
      <c r="BM691" s="1" t="s">
        <v>74</v>
      </c>
      <c r="BN691" s="1">
        <v>3.539486E7</v>
      </c>
      <c r="BO691" s="1" t="s">
        <v>74</v>
      </c>
      <c r="BP691" s="1" t="s">
        <v>74</v>
      </c>
      <c r="BQ691" s="1" t="s">
        <v>74</v>
      </c>
      <c r="BR691" s="1" t="s">
        <v>74</v>
      </c>
      <c r="BS691" s="1" t="s">
        <v>7003</v>
      </c>
      <c r="BT691" s="1" t="str">
        <f>HYPERLINK("https%3A%2F%2Fwww.webofscience.com%2Fwos%2Fwoscc%2Ffull-record%2FWOS:000789367500001","View Full Record in Web of Science")</f>
        <v>View Full Record in Web of Science</v>
      </c>
    </row>
    <row r="692" ht="12.75" customHeight="1">
      <c r="A692" s="1" t="s">
        <v>2882</v>
      </c>
      <c r="B692" s="1" t="s">
        <v>7004</v>
      </c>
      <c r="C692" s="1" t="s">
        <v>74</v>
      </c>
      <c r="D692" s="1" t="s">
        <v>7005</v>
      </c>
      <c r="E692" s="1" t="s">
        <v>74</v>
      </c>
      <c r="F692" s="1" t="s">
        <v>7006</v>
      </c>
      <c r="G692" s="1" t="s">
        <v>74</v>
      </c>
      <c r="H692" s="1" t="s">
        <v>74</v>
      </c>
      <c r="I692" s="1" t="s">
        <v>7007</v>
      </c>
      <c r="J692" s="1" t="s">
        <v>7008</v>
      </c>
      <c r="K692" s="1" t="s">
        <v>74</v>
      </c>
      <c r="L692" s="1" t="s">
        <v>74</v>
      </c>
      <c r="M692" s="1" t="s">
        <v>74</v>
      </c>
      <c r="N692" s="1" t="s">
        <v>74</v>
      </c>
      <c r="O692" s="1" t="s">
        <v>74</v>
      </c>
      <c r="P692" s="1" t="s">
        <v>74</v>
      </c>
      <c r="Q692" s="1" t="s">
        <v>74</v>
      </c>
      <c r="R692" s="1" t="s">
        <v>74</v>
      </c>
      <c r="S692" s="1" t="s">
        <v>74</v>
      </c>
      <c r="T692" s="1" t="s">
        <v>74</v>
      </c>
      <c r="U692" s="1" t="s">
        <v>74</v>
      </c>
      <c r="V692" s="1" t="s">
        <v>7009</v>
      </c>
      <c r="W692" s="1" t="s">
        <v>74</v>
      </c>
      <c r="X692" s="1" t="s">
        <v>74</v>
      </c>
      <c r="Y692" s="1" t="s">
        <v>74</v>
      </c>
      <c r="Z692" s="1" t="s">
        <v>74</v>
      </c>
      <c r="AA692" s="1" t="s">
        <v>7010</v>
      </c>
      <c r="AB692" s="1" t="s">
        <v>2415</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74</v>
      </c>
      <c r="AP692" s="1" t="s">
        <v>74</v>
      </c>
      <c r="AQ692" s="1" t="s">
        <v>7011</v>
      </c>
      <c r="AR692" s="1" t="s">
        <v>74</v>
      </c>
      <c r="AS692" s="1" t="s">
        <v>74</v>
      </c>
      <c r="AT692" s="1" t="s">
        <v>74</v>
      </c>
      <c r="AU692" s="1">
        <v>2019.0</v>
      </c>
      <c r="AV692" s="1" t="s">
        <v>74</v>
      </c>
      <c r="AW692" s="1" t="s">
        <v>74</v>
      </c>
      <c r="AX692" s="1" t="s">
        <v>74</v>
      </c>
      <c r="AY692" s="1" t="s">
        <v>74</v>
      </c>
      <c r="AZ692" s="1" t="s">
        <v>74</v>
      </c>
      <c r="BA692" s="1" t="s">
        <v>74</v>
      </c>
      <c r="BB692" s="1">
        <v>117.0</v>
      </c>
      <c r="BC692" s="1">
        <v>135.0</v>
      </c>
      <c r="BD692" s="1" t="s">
        <v>74</v>
      </c>
      <c r="BE692" s="1" t="s">
        <v>7012</v>
      </c>
      <c r="BF692" s="2" t="str">
        <f>HYPERLINK("http://dx.doi.org/10.1007/978-3-030-28452-7_7","http://dx.doi.org/10.1007/978-3-030-28452-7_7")</f>
        <v>http://dx.doi.org/10.1007/978-3-030-28452-7_7</v>
      </c>
      <c r="BG692" s="1" t="s">
        <v>7013</v>
      </c>
      <c r="BH692" s="1" t="s">
        <v>74</v>
      </c>
      <c r="BI692" s="1" t="s">
        <v>74</v>
      </c>
      <c r="BJ692" s="1" t="s">
        <v>74</v>
      </c>
      <c r="BK692" s="1" t="s">
        <v>74</v>
      </c>
      <c r="BL692" s="1" t="s">
        <v>74</v>
      </c>
      <c r="BM692" s="1" t="s">
        <v>74</v>
      </c>
      <c r="BN692" s="1" t="s">
        <v>74</v>
      </c>
      <c r="BO692" s="1" t="s">
        <v>74</v>
      </c>
      <c r="BP692" s="1" t="s">
        <v>74</v>
      </c>
      <c r="BQ692" s="1" t="s">
        <v>74</v>
      </c>
      <c r="BR692" s="1" t="s">
        <v>74</v>
      </c>
      <c r="BS692" s="1" t="s">
        <v>7014</v>
      </c>
      <c r="BT692" s="1" t="str">
        <f>HYPERLINK("https%3A%2F%2Fwww.webofscience.com%2Fwos%2Fwoscc%2Ffull-record%2FWOS:000631257800008","View Full Record in Web of Science")</f>
        <v>View Full Record in Web of Science</v>
      </c>
    </row>
    <row r="693" ht="12.75" customHeight="1">
      <c r="A693" s="1" t="s">
        <v>72</v>
      </c>
      <c r="B693" s="1" t="s">
        <v>7015</v>
      </c>
      <c r="C693" s="1" t="s">
        <v>74</v>
      </c>
      <c r="D693" s="1" t="s">
        <v>74</v>
      </c>
      <c r="E693" s="1" t="s">
        <v>74</v>
      </c>
      <c r="F693" s="1" t="s">
        <v>7016</v>
      </c>
      <c r="G693" s="1" t="s">
        <v>74</v>
      </c>
      <c r="H693" s="1" t="s">
        <v>74</v>
      </c>
      <c r="I693" s="1" t="s">
        <v>7017</v>
      </c>
      <c r="J693" s="1" t="s">
        <v>7018</v>
      </c>
      <c r="K693" s="1" t="s">
        <v>74</v>
      </c>
      <c r="L693" s="1" t="s">
        <v>74</v>
      </c>
      <c r="M693" s="1" t="s">
        <v>74</v>
      </c>
      <c r="N693" s="1" t="s">
        <v>74</v>
      </c>
      <c r="O693" s="1" t="s">
        <v>74</v>
      </c>
      <c r="P693" s="1" t="s">
        <v>74</v>
      </c>
      <c r="Q693" s="1" t="s">
        <v>74</v>
      </c>
      <c r="R693" s="1" t="s">
        <v>74</v>
      </c>
      <c r="S693" s="1" t="s">
        <v>74</v>
      </c>
      <c r="T693" s="1" t="s">
        <v>74</v>
      </c>
      <c r="U693" s="1" t="s">
        <v>74</v>
      </c>
      <c r="V693" s="1" t="s">
        <v>7019</v>
      </c>
      <c r="W693" s="1" t="s">
        <v>74</v>
      </c>
      <c r="X693" s="1" t="s">
        <v>74</v>
      </c>
      <c r="Y693" s="1" t="s">
        <v>74</v>
      </c>
      <c r="Z693" s="1" t="s">
        <v>74</v>
      </c>
      <c r="AA693" s="1" t="s">
        <v>7020</v>
      </c>
      <c r="AB693" s="1" t="s">
        <v>7021</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7022</v>
      </c>
      <c r="AP693" s="1" t="s">
        <v>7023</v>
      </c>
      <c r="AQ693" s="1" t="s">
        <v>74</v>
      </c>
      <c r="AR693" s="1" t="s">
        <v>74</v>
      </c>
      <c r="AS693" s="1" t="s">
        <v>74</v>
      </c>
      <c r="AT693" s="1" t="s">
        <v>214</v>
      </c>
      <c r="AU693" s="1">
        <v>2017.0</v>
      </c>
      <c r="AV693" s="1">
        <v>115.0</v>
      </c>
      <c r="AW693" s="1" t="s">
        <v>74</v>
      </c>
      <c r="AX693" s="1" t="s">
        <v>74</v>
      </c>
      <c r="AY693" s="1" t="s">
        <v>74</v>
      </c>
      <c r="AZ693" s="1" t="s">
        <v>74</v>
      </c>
      <c r="BA693" s="1" t="s">
        <v>74</v>
      </c>
      <c r="BB693" s="1">
        <v>75.0</v>
      </c>
      <c r="BC693" s="1">
        <v>84.0</v>
      </c>
      <c r="BD693" s="1" t="s">
        <v>74</v>
      </c>
      <c r="BE693" s="1" t="s">
        <v>7024</v>
      </c>
      <c r="BF693" s="2" t="str">
        <f>HYPERLINK("http://dx.doi.org/10.1016/j.techfore.2016.09.021","http://dx.doi.org/10.1016/j.techfore.2016.09.021")</f>
        <v>http://dx.doi.org/10.1016/j.techfore.2016.09.021</v>
      </c>
      <c r="BG693" s="1" t="s">
        <v>74</v>
      </c>
      <c r="BH693" s="1" t="s">
        <v>74</v>
      </c>
      <c r="BI693" s="1" t="s">
        <v>74</v>
      </c>
      <c r="BJ693" s="1" t="s">
        <v>74</v>
      </c>
      <c r="BK693" s="1" t="s">
        <v>74</v>
      </c>
      <c r="BL693" s="1" t="s">
        <v>74</v>
      </c>
      <c r="BM693" s="1" t="s">
        <v>74</v>
      </c>
      <c r="BN693" s="1" t="s">
        <v>74</v>
      </c>
      <c r="BO693" s="1" t="s">
        <v>74</v>
      </c>
      <c r="BP693" s="1" t="s">
        <v>74</v>
      </c>
      <c r="BQ693" s="1" t="s">
        <v>74</v>
      </c>
      <c r="BR693" s="1" t="s">
        <v>74</v>
      </c>
      <c r="BS693" s="1" t="s">
        <v>7025</v>
      </c>
      <c r="BT693" s="1" t="str">
        <f>HYPERLINK("https%3A%2F%2Fwww.webofscience.com%2Fwos%2Fwoscc%2Ffull-record%2FWOS:000393347100007","View Full Record in Web of Science")</f>
        <v>View Full Record in Web of Science</v>
      </c>
    </row>
    <row r="694" ht="12.75" customHeight="1">
      <c r="A694" s="1" t="s">
        <v>72</v>
      </c>
      <c r="B694" s="1" t="s">
        <v>7026</v>
      </c>
      <c r="C694" s="1" t="s">
        <v>74</v>
      </c>
      <c r="D694" s="1" t="s">
        <v>74</v>
      </c>
      <c r="E694" s="1" t="s">
        <v>74</v>
      </c>
      <c r="F694" s="1" t="s">
        <v>7027</v>
      </c>
      <c r="G694" s="1" t="s">
        <v>74</v>
      </c>
      <c r="H694" s="1" t="s">
        <v>74</v>
      </c>
      <c r="I694" s="1" t="s">
        <v>7028</v>
      </c>
      <c r="J694" s="1" t="s">
        <v>7029</v>
      </c>
      <c r="K694" s="1" t="s">
        <v>74</v>
      </c>
      <c r="L694" s="1" t="s">
        <v>74</v>
      </c>
      <c r="M694" s="1" t="s">
        <v>74</v>
      </c>
      <c r="N694" s="1" t="s">
        <v>74</v>
      </c>
      <c r="O694" s="1" t="s">
        <v>74</v>
      </c>
      <c r="P694" s="1" t="s">
        <v>74</v>
      </c>
      <c r="Q694" s="1" t="s">
        <v>74</v>
      </c>
      <c r="R694" s="1" t="s">
        <v>74</v>
      </c>
      <c r="S694" s="1" t="s">
        <v>74</v>
      </c>
      <c r="T694" s="1" t="s">
        <v>74</v>
      </c>
      <c r="U694" s="1" t="s">
        <v>74</v>
      </c>
      <c r="V694" s="1" t="s">
        <v>7030</v>
      </c>
      <c r="W694" s="1" t="s">
        <v>74</v>
      </c>
      <c r="X694" s="1" t="s">
        <v>74</v>
      </c>
      <c r="Y694" s="1" t="s">
        <v>74</v>
      </c>
      <c r="Z694" s="1" t="s">
        <v>74</v>
      </c>
      <c r="AA694" s="1" t="s">
        <v>7031</v>
      </c>
      <c r="AB694" s="1" t="s">
        <v>7032</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7033</v>
      </c>
      <c r="AP694" s="1" t="s">
        <v>7034</v>
      </c>
      <c r="AQ694" s="1" t="s">
        <v>74</v>
      </c>
      <c r="AR694" s="1" t="s">
        <v>74</v>
      </c>
      <c r="AS694" s="1" t="s">
        <v>74</v>
      </c>
      <c r="AT694" s="1" t="s">
        <v>334</v>
      </c>
      <c r="AU694" s="1">
        <v>2015.0</v>
      </c>
      <c r="AV694" s="1">
        <v>53.0</v>
      </c>
      <c r="AW694" s="1">
        <v>4.0</v>
      </c>
      <c r="AX694" s="1" t="s">
        <v>74</v>
      </c>
      <c r="AY694" s="1" t="s">
        <v>74</v>
      </c>
      <c r="AZ694" s="1" t="s">
        <v>74</v>
      </c>
      <c r="BA694" s="1" t="s">
        <v>74</v>
      </c>
      <c r="BB694" s="1">
        <v>489.0</v>
      </c>
      <c r="BC694" s="1">
        <v>499.0</v>
      </c>
      <c r="BD694" s="1" t="s">
        <v>74</v>
      </c>
      <c r="BE694" s="1" t="s">
        <v>7035</v>
      </c>
      <c r="BF694" s="2" t="str">
        <f>HYPERLINK("http://dx.doi.org/10.1165/rcmb.2014-0329OC","http://dx.doi.org/10.1165/rcmb.2014-0329OC")</f>
        <v>http://dx.doi.org/10.1165/rcmb.2014-0329OC</v>
      </c>
      <c r="BG694" s="1" t="s">
        <v>74</v>
      </c>
      <c r="BH694" s="1" t="s">
        <v>74</v>
      </c>
      <c r="BI694" s="1" t="s">
        <v>74</v>
      </c>
      <c r="BJ694" s="1" t="s">
        <v>74</v>
      </c>
      <c r="BK694" s="1" t="s">
        <v>74</v>
      </c>
      <c r="BL694" s="1" t="s">
        <v>74</v>
      </c>
      <c r="BM694" s="1" t="s">
        <v>74</v>
      </c>
      <c r="BN694" s="1">
        <v>2.5695895E7</v>
      </c>
      <c r="BO694" s="1" t="s">
        <v>74</v>
      </c>
      <c r="BP694" s="1" t="s">
        <v>74</v>
      </c>
      <c r="BQ694" s="1" t="s">
        <v>74</v>
      </c>
      <c r="BR694" s="1" t="s">
        <v>74</v>
      </c>
      <c r="BS694" s="1" t="s">
        <v>7036</v>
      </c>
      <c r="BT694" s="1" t="str">
        <f>HYPERLINK("https%3A%2F%2Fwww.webofscience.com%2Fwos%2Fwoscc%2Ffull-record%2FWOS:000367442400007","View Full Record in Web of Science")</f>
        <v>View Full Record in Web of Science</v>
      </c>
    </row>
    <row r="695" ht="12.75" customHeight="1">
      <c r="A695" s="1" t="s">
        <v>72</v>
      </c>
      <c r="B695" s="1" t="s">
        <v>7037</v>
      </c>
      <c r="C695" s="1" t="s">
        <v>74</v>
      </c>
      <c r="D695" s="1" t="s">
        <v>74</v>
      </c>
      <c r="E695" s="1" t="s">
        <v>74</v>
      </c>
      <c r="F695" s="1" t="s">
        <v>7038</v>
      </c>
      <c r="G695" s="1" t="s">
        <v>74</v>
      </c>
      <c r="H695" s="1" t="s">
        <v>74</v>
      </c>
      <c r="I695" s="1" t="s">
        <v>7039</v>
      </c>
      <c r="J695" s="1" t="s">
        <v>443</v>
      </c>
      <c r="K695" s="1" t="s">
        <v>74</v>
      </c>
      <c r="L695" s="1" t="s">
        <v>74</v>
      </c>
      <c r="M695" s="1" t="s">
        <v>74</v>
      </c>
      <c r="N695" s="1" t="s">
        <v>74</v>
      </c>
      <c r="O695" s="1" t="s">
        <v>74</v>
      </c>
      <c r="P695" s="1" t="s">
        <v>74</v>
      </c>
      <c r="Q695" s="1" t="s">
        <v>74</v>
      </c>
      <c r="R695" s="1" t="s">
        <v>74</v>
      </c>
      <c r="S695" s="1" t="s">
        <v>74</v>
      </c>
      <c r="T695" s="1" t="s">
        <v>74</v>
      </c>
      <c r="U695" s="1" t="s">
        <v>74</v>
      </c>
      <c r="V695" s="1" t="s">
        <v>7040</v>
      </c>
      <c r="W695" s="1" t="s">
        <v>74</v>
      </c>
      <c r="X695" s="1" t="s">
        <v>74</v>
      </c>
      <c r="Y695" s="1" t="s">
        <v>74</v>
      </c>
      <c r="Z695" s="1" t="s">
        <v>74</v>
      </c>
      <c r="AA695" s="1" t="s">
        <v>7041</v>
      </c>
      <c r="AB695" s="1" t="s">
        <v>7042</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445</v>
      </c>
      <c r="AP695" s="1" t="s">
        <v>446</v>
      </c>
      <c r="AQ695" s="1" t="s">
        <v>74</v>
      </c>
      <c r="AR695" s="1" t="s">
        <v>74</v>
      </c>
      <c r="AS695" s="1" t="s">
        <v>74</v>
      </c>
      <c r="AT695" s="1" t="s">
        <v>202</v>
      </c>
      <c r="AU695" s="1">
        <v>2008.0</v>
      </c>
      <c r="AV695" s="1">
        <v>105.0</v>
      </c>
      <c r="AW695" s="1">
        <v>5.0</v>
      </c>
      <c r="AX695" s="1" t="s">
        <v>74</v>
      </c>
      <c r="AY695" s="1" t="s">
        <v>74</v>
      </c>
      <c r="AZ695" s="1" t="s">
        <v>74</v>
      </c>
      <c r="BA695" s="1" t="s">
        <v>74</v>
      </c>
      <c r="BB695" s="1">
        <v>1770.0</v>
      </c>
      <c r="BC695" s="1">
        <v>1780.0</v>
      </c>
      <c r="BD695" s="1" t="s">
        <v>74</v>
      </c>
      <c r="BE695" s="1" t="s">
        <v>7043</v>
      </c>
      <c r="BF695" s="2" t="str">
        <f>HYPERLINK("http://dx.doi.org/10.1111/j.1471-4159.2008.05272.x","http://dx.doi.org/10.1111/j.1471-4159.2008.05272.x")</f>
        <v>http://dx.doi.org/10.1111/j.1471-4159.2008.05272.x</v>
      </c>
      <c r="BG695" s="1" t="s">
        <v>74</v>
      </c>
      <c r="BH695" s="1" t="s">
        <v>74</v>
      </c>
      <c r="BI695" s="1" t="s">
        <v>74</v>
      </c>
      <c r="BJ695" s="1" t="s">
        <v>74</v>
      </c>
      <c r="BK695" s="1" t="s">
        <v>74</v>
      </c>
      <c r="BL695" s="1" t="s">
        <v>74</v>
      </c>
      <c r="BM695" s="1" t="s">
        <v>74</v>
      </c>
      <c r="BN695" s="1">
        <v>1.8248615E7</v>
      </c>
      <c r="BO695" s="1" t="s">
        <v>74</v>
      </c>
      <c r="BP695" s="1" t="s">
        <v>74</v>
      </c>
      <c r="BQ695" s="1" t="s">
        <v>74</v>
      </c>
      <c r="BR695" s="1" t="s">
        <v>74</v>
      </c>
      <c r="BS695" s="1" t="s">
        <v>7044</v>
      </c>
      <c r="BT695" s="1" t="str">
        <f>HYPERLINK("https%3A%2F%2Fwww.webofscience.com%2Fwos%2Fwoscc%2Ffull-record%2FWOS:000255835000018","View Full Record in Web of Science")</f>
        <v>View Full Record in Web of Science</v>
      </c>
    </row>
    <row r="696" ht="12.75" customHeight="1">
      <c r="A696" s="1" t="s">
        <v>72</v>
      </c>
      <c r="B696" s="1" t="s">
        <v>7045</v>
      </c>
      <c r="C696" s="1" t="s">
        <v>74</v>
      </c>
      <c r="D696" s="1" t="s">
        <v>74</v>
      </c>
      <c r="E696" s="1" t="s">
        <v>74</v>
      </c>
      <c r="F696" s="1" t="s">
        <v>7046</v>
      </c>
      <c r="G696" s="1" t="s">
        <v>74</v>
      </c>
      <c r="H696" s="1" t="s">
        <v>74</v>
      </c>
      <c r="I696" s="1" t="s">
        <v>7047</v>
      </c>
      <c r="J696" s="1" t="s">
        <v>5373</v>
      </c>
      <c r="K696" s="1" t="s">
        <v>74</v>
      </c>
      <c r="L696" s="1" t="s">
        <v>74</v>
      </c>
      <c r="M696" s="1" t="s">
        <v>74</v>
      </c>
      <c r="N696" s="1" t="s">
        <v>74</v>
      </c>
      <c r="O696" s="1" t="s">
        <v>74</v>
      </c>
      <c r="P696" s="1" t="s">
        <v>74</v>
      </c>
      <c r="Q696" s="1" t="s">
        <v>74</v>
      </c>
      <c r="R696" s="1" t="s">
        <v>74</v>
      </c>
      <c r="S696" s="1" t="s">
        <v>74</v>
      </c>
      <c r="T696" s="1" t="s">
        <v>74</v>
      </c>
      <c r="U696" s="1" t="s">
        <v>74</v>
      </c>
      <c r="V696" s="1" t="s">
        <v>7048</v>
      </c>
      <c r="W696" s="1" t="s">
        <v>74</v>
      </c>
      <c r="X696" s="1" t="s">
        <v>74</v>
      </c>
      <c r="Y696" s="1" t="s">
        <v>74</v>
      </c>
      <c r="Z696" s="1" t="s">
        <v>74</v>
      </c>
      <c r="AA696" s="1" t="s">
        <v>7049</v>
      </c>
      <c r="AB696" s="1" t="s">
        <v>7050</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5377</v>
      </c>
      <c r="AP696" s="1" t="s">
        <v>5378</v>
      </c>
      <c r="AQ696" s="1" t="s">
        <v>74</v>
      </c>
      <c r="AR696" s="1" t="s">
        <v>74</v>
      </c>
      <c r="AS696" s="1" t="s">
        <v>74</v>
      </c>
      <c r="AT696" s="1" t="s">
        <v>7051</v>
      </c>
      <c r="AU696" s="1">
        <v>2024.0</v>
      </c>
      <c r="AV696" s="1">
        <v>69.0</v>
      </c>
      <c r="AW696" s="1">
        <v>4.0</v>
      </c>
      <c r="AX696" s="1" t="s">
        <v>74</v>
      </c>
      <c r="AY696" s="1" t="s">
        <v>74</v>
      </c>
      <c r="AZ696" s="1" t="s">
        <v>74</v>
      </c>
      <c r="BA696" s="1" t="s">
        <v>74</v>
      </c>
      <c r="BB696" s="1">
        <v>1718.0</v>
      </c>
      <c r="BC696" s="1">
        <v>1730.0</v>
      </c>
      <c r="BD696" s="1" t="s">
        <v>74</v>
      </c>
      <c r="BE696" s="1" t="s">
        <v>7052</v>
      </c>
      <c r="BF696" s="2" t="str">
        <f>HYPERLINK("http://dx.doi.org/10.1021/acs.jced.3c00587","http://dx.doi.org/10.1021/acs.jced.3c00587")</f>
        <v>http://dx.doi.org/10.1021/acs.jced.3c00587</v>
      </c>
      <c r="BG696" s="1" t="s">
        <v>74</v>
      </c>
      <c r="BH696" s="1" t="s">
        <v>766</v>
      </c>
      <c r="BI696" s="1" t="s">
        <v>74</v>
      </c>
      <c r="BJ696" s="1" t="s">
        <v>74</v>
      </c>
      <c r="BK696" s="1" t="s">
        <v>74</v>
      </c>
      <c r="BL696" s="1" t="s">
        <v>74</v>
      </c>
      <c r="BM696" s="1" t="s">
        <v>74</v>
      </c>
      <c r="BN696" s="1" t="s">
        <v>74</v>
      </c>
      <c r="BO696" s="1" t="s">
        <v>74</v>
      </c>
      <c r="BP696" s="1" t="s">
        <v>74</v>
      </c>
      <c r="BQ696" s="1" t="s">
        <v>74</v>
      </c>
      <c r="BR696" s="1" t="s">
        <v>74</v>
      </c>
      <c r="BS696" s="1" t="s">
        <v>7053</v>
      </c>
      <c r="BT696" s="1" t="str">
        <f>HYPERLINK("https%3A%2F%2Fwww.webofscience.com%2Fwos%2Fwoscc%2Ffull-record%2FWOS:001193719300001","View Full Record in Web of Science")</f>
        <v>View Full Record in Web of Science</v>
      </c>
    </row>
    <row r="697" ht="12.75" customHeight="1">
      <c r="A697" s="1" t="s">
        <v>72</v>
      </c>
      <c r="B697" s="1" t="s">
        <v>7054</v>
      </c>
      <c r="C697" s="1" t="s">
        <v>74</v>
      </c>
      <c r="D697" s="1" t="s">
        <v>74</v>
      </c>
      <c r="E697" s="1" t="s">
        <v>74</v>
      </c>
      <c r="F697" s="1" t="s">
        <v>7055</v>
      </c>
      <c r="G697" s="1" t="s">
        <v>74</v>
      </c>
      <c r="H697" s="1" t="s">
        <v>7056</v>
      </c>
      <c r="I697" s="1" t="s">
        <v>7057</v>
      </c>
      <c r="J697" s="1" t="s">
        <v>1181</v>
      </c>
      <c r="K697" s="1" t="s">
        <v>74</v>
      </c>
      <c r="L697" s="1" t="s">
        <v>74</v>
      </c>
      <c r="M697" s="1" t="s">
        <v>74</v>
      </c>
      <c r="N697" s="1" t="s">
        <v>74</v>
      </c>
      <c r="O697" s="1" t="s">
        <v>74</v>
      </c>
      <c r="P697" s="1" t="s">
        <v>74</v>
      </c>
      <c r="Q697" s="1" t="s">
        <v>74</v>
      </c>
      <c r="R697" s="1" t="s">
        <v>74</v>
      </c>
      <c r="S697" s="1" t="s">
        <v>74</v>
      </c>
      <c r="T697" s="1" t="s">
        <v>74</v>
      </c>
      <c r="U697" s="1" t="s">
        <v>74</v>
      </c>
      <c r="V697" s="1" t="s">
        <v>7058</v>
      </c>
      <c r="W697" s="1" t="s">
        <v>74</v>
      </c>
      <c r="X697" s="1" t="s">
        <v>74</v>
      </c>
      <c r="Y697" s="1" t="s">
        <v>74</v>
      </c>
      <c r="Z697" s="1" t="s">
        <v>74</v>
      </c>
      <c r="AA697" s="1" t="s">
        <v>7059</v>
      </c>
      <c r="AB697" s="1" t="s">
        <v>7060</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1185</v>
      </c>
      <c r="AP697" s="1" t="s">
        <v>1186</v>
      </c>
      <c r="AQ697" s="1" t="s">
        <v>74</v>
      </c>
      <c r="AR697" s="1" t="s">
        <v>74</v>
      </c>
      <c r="AS697" s="1" t="s">
        <v>74</v>
      </c>
      <c r="AT697" s="1" t="s">
        <v>5117</v>
      </c>
      <c r="AU697" s="1">
        <v>2023.0</v>
      </c>
      <c r="AV697" s="1">
        <v>56.0</v>
      </c>
      <c r="AW697" s="1">
        <v>1.0</v>
      </c>
      <c r="AX697" s="1" t="s">
        <v>74</v>
      </c>
      <c r="AY697" s="1" t="s">
        <v>74</v>
      </c>
      <c r="AZ697" s="1" t="s">
        <v>74</v>
      </c>
      <c r="BA697" s="1" t="s">
        <v>74</v>
      </c>
      <c r="BB697" s="1" t="s">
        <v>74</v>
      </c>
      <c r="BC697" s="1" t="s">
        <v>74</v>
      </c>
      <c r="BD697" s="1">
        <v>6.0</v>
      </c>
      <c r="BE697" s="1" t="s">
        <v>7061</v>
      </c>
      <c r="BF697" s="2" t="str">
        <f>HYPERLINK("http://dx.doi.org/10.1186/s40659-023-00414-9","http://dx.doi.org/10.1186/s40659-023-00414-9")</f>
        <v>http://dx.doi.org/10.1186/s40659-023-00414-9</v>
      </c>
      <c r="BG697" s="1" t="s">
        <v>74</v>
      </c>
      <c r="BH697" s="1" t="s">
        <v>74</v>
      </c>
      <c r="BI697" s="1" t="s">
        <v>74</v>
      </c>
      <c r="BJ697" s="1" t="s">
        <v>74</v>
      </c>
      <c r="BK697" s="1" t="s">
        <v>74</v>
      </c>
      <c r="BL697" s="1" t="s">
        <v>74</v>
      </c>
      <c r="BM697" s="1" t="s">
        <v>74</v>
      </c>
      <c r="BN697" s="1">
        <v>3.6797803E7</v>
      </c>
      <c r="BO697" s="1" t="s">
        <v>74</v>
      </c>
      <c r="BP697" s="1" t="s">
        <v>74</v>
      </c>
      <c r="BQ697" s="1" t="s">
        <v>74</v>
      </c>
      <c r="BR697" s="1" t="s">
        <v>74</v>
      </c>
      <c r="BS697" s="1" t="s">
        <v>7062</v>
      </c>
      <c r="BT697" s="1" t="str">
        <f>HYPERLINK("https%3A%2F%2Fwww.webofscience.com%2Fwos%2Fwoscc%2Ffull-record%2FWOS:000935884400001","View Full Record in Web of Science")</f>
        <v>View Full Record in Web of Science</v>
      </c>
    </row>
    <row r="698" ht="12.75" customHeight="1">
      <c r="A698" s="1" t="s">
        <v>72</v>
      </c>
      <c r="B698" s="1" t="s">
        <v>7063</v>
      </c>
      <c r="C698" s="1" t="s">
        <v>74</v>
      </c>
      <c r="D698" s="1" t="s">
        <v>74</v>
      </c>
      <c r="E698" s="1" t="s">
        <v>74</v>
      </c>
      <c r="F698" s="1" t="s">
        <v>7064</v>
      </c>
      <c r="G698" s="1" t="s">
        <v>74</v>
      </c>
      <c r="H698" s="1" t="s">
        <v>74</v>
      </c>
      <c r="I698" s="1" t="s">
        <v>7065</v>
      </c>
      <c r="J698" s="1" t="s">
        <v>5314</v>
      </c>
      <c r="K698" s="1" t="s">
        <v>74</v>
      </c>
      <c r="L698" s="1" t="s">
        <v>74</v>
      </c>
      <c r="M698" s="1" t="s">
        <v>74</v>
      </c>
      <c r="N698" s="1" t="s">
        <v>74</v>
      </c>
      <c r="O698" s="1" t="s">
        <v>74</v>
      </c>
      <c r="P698" s="1" t="s">
        <v>74</v>
      </c>
      <c r="Q698" s="1" t="s">
        <v>74</v>
      </c>
      <c r="R698" s="1" t="s">
        <v>74</v>
      </c>
      <c r="S698" s="1" t="s">
        <v>74</v>
      </c>
      <c r="T698" s="1" t="s">
        <v>74</v>
      </c>
      <c r="U698" s="1" t="s">
        <v>74</v>
      </c>
      <c r="V698" s="1" t="s">
        <v>7066</v>
      </c>
      <c r="W698" s="1" t="s">
        <v>74</v>
      </c>
      <c r="X698" s="1" t="s">
        <v>74</v>
      </c>
      <c r="Y698" s="1" t="s">
        <v>74</v>
      </c>
      <c r="Z698" s="1" t="s">
        <v>74</v>
      </c>
      <c r="AA698" s="1" t="s">
        <v>7067</v>
      </c>
      <c r="AB698" s="1" t="s">
        <v>7068</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5318</v>
      </c>
      <c r="AP698" s="1" t="s">
        <v>5319</v>
      </c>
      <c r="AQ698" s="1" t="s">
        <v>74</v>
      </c>
      <c r="AR698" s="1" t="s">
        <v>74</v>
      </c>
      <c r="AS698" s="1" t="s">
        <v>74</v>
      </c>
      <c r="AT698" s="1" t="s">
        <v>74</v>
      </c>
      <c r="AU698" s="1">
        <v>2023.0</v>
      </c>
      <c r="AV698" s="1">
        <v>24.0</v>
      </c>
      <c r="AW698" s="1">
        <v>1.0</v>
      </c>
      <c r="AX698" s="1" t="s">
        <v>74</v>
      </c>
      <c r="AY698" s="1" t="s">
        <v>74</v>
      </c>
      <c r="AZ698" s="1" t="s">
        <v>74</v>
      </c>
      <c r="BA698" s="1" t="s">
        <v>74</v>
      </c>
      <c r="BB698" s="1">
        <v>93.0</v>
      </c>
      <c r="BC698" s="1">
        <v>99.0</v>
      </c>
      <c r="BD698" s="1" t="s">
        <v>74</v>
      </c>
      <c r="BE698" s="1" t="s">
        <v>7069</v>
      </c>
      <c r="BF698" s="2" t="str">
        <f>HYPERLINK("http://dx.doi.org/10.5114/hm.2023.115037","http://dx.doi.org/10.5114/hm.2023.115037")</f>
        <v>http://dx.doi.org/10.5114/hm.2023.115037</v>
      </c>
      <c r="BG698" s="1" t="s">
        <v>74</v>
      </c>
      <c r="BH698" s="1" t="s">
        <v>74</v>
      </c>
      <c r="BI698" s="1" t="s">
        <v>74</v>
      </c>
      <c r="BJ698" s="1" t="s">
        <v>74</v>
      </c>
      <c r="BK698" s="1" t="s">
        <v>74</v>
      </c>
      <c r="BL698" s="1" t="s">
        <v>74</v>
      </c>
      <c r="BM698" s="1" t="s">
        <v>74</v>
      </c>
      <c r="BN698" s="1" t="s">
        <v>74</v>
      </c>
      <c r="BO698" s="1" t="s">
        <v>74</v>
      </c>
      <c r="BP698" s="1" t="s">
        <v>74</v>
      </c>
      <c r="BQ698" s="1" t="s">
        <v>74</v>
      </c>
      <c r="BR698" s="1" t="s">
        <v>74</v>
      </c>
      <c r="BS698" s="1" t="s">
        <v>7070</v>
      </c>
      <c r="BT698" s="1" t="str">
        <f>HYPERLINK("https%3A%2F%2Fwww.webofscience.com%2Fwos%2Fwoscc%2Ffull-record%2FWOS:001207492200011","View Full Record in Web of Science")</f>
        <v>View Full Record in Web of Science</v>
      </c>
    </row>
    <row r="699" ht="12.75" customHeight="1">
      <c r="A699" s="1" t="s">
        <v>72</v>
      </c>
      <c r="B699" s="1" t="s">
        <v>7071</v>
      </c>
      <c r="C699" s="1" t="s">
        <v>74</v>
      </c>
      <c r="D699" s="1" t="s">
        <v>74</v>
      </c>
      <c r="E699" s="1" t="s">
        <v>74</v>
      </c>
      <c r="F699" s="1" t="s">
        <v>7072</v>
      </c>
      <c r="G699" s="1" t="s">
        <v>74</v>
      </c>
      <c r="H699" s="1" t="s">
        <v>74</v>
      </c>
      <c r="I699" s="1" t="s">
        <v>7073</v>
      </c>
      <c r="J699" s="1" t="s">
        <v>7074</v>
      </c>
      <c r="K699" s="1" t="s">
        <v>74</v>
      </c>
      <c r="L699" s="1" t="s">
        <v>74</v>
      </c>
      <c r="M699" s="1" t="s">
        <v>74</v>
      </c>
      <c r="N699" s="1" t="s">
        <v>74</v>
      </c>
      <c r="O699" s="1" t="s">
        <v>74</v>
      </c>
      <c r="P699" s="1" t="s">
        <v>74</v>
      </c>
      <c r="Q699" s="1" t="s">
        <v>74</v>
      </c>
      <c r="R699" s="1" t="s">
        <v>74</v>
      </c>
      <c r="S699" s="1" t="s">
        <v>74</v>
      </c>
      <c r="T699" s="1" t="s">
        <v>74</v>
      </c>
      <c r="U699" s="1" t="s">
        <v>74</v>
      </c>
      <c r="V699" s="1" t="s">
        <v>7075</v>
      </c>
      <c r="W699" s="1" t="s">
        <v>74</v>
      </c>
      <c r="X699" s="1" t="s">
        <v>74</v>
      </c>
      <c r="Y699" s="1" t="s">
        <v>74</v>
      </c>
      <c r="Z699" s="1" t="s">
        <v>74</v>
      </c>
      <c r="AA699" s="1" t="s">
        <v>7076</v>
      </c>
      <c r="AB699" s="1" t="s">
        <v>7077</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7078</v>
      </c>
      <c r="AP699" s="1" t="s">
        <v>7079</v>
      </c>
      <c r="AQ699" s="1" t="s">
        <v>74</v>
      </c>
      <c r="AR699" s="1" t="s">
        <v>74</v>
      </c>
      <c r="AS699" s="1" t="s">
        <v>74</v>
      </c>
      <c r="AT699" s="1" t="s">
        <v>745</v>
      </c>
      <c r="AU699" s="1">
        <v>2022.0</v>
      </c>
      <c r="AV699" s="1">
        <v>198.0</v>
      </c>
      <c r="AW699" s="1" t="s">
        <v>74</v>
      </c>
      <c r="AX699" s="1" t="s">
        <v>74</v>
      </c>
      <c r="AY699" s="1" t="s">
        <v>74</v>
      </c>
      <c r="AZ699" s="1" t="s">
        <v>74</v>
      </c>
      <c r="BA699" s="1" t="s">
        <v>74</v>
      </c>
      <c r="BB699" s="1" t="s">
        <v>74</v>
      </c>
      <c r="BC699" s="1" t="s">
        <v>74</v>
      </c>
      <c r="BD699" s="1">
        <v>107105.0</v>
      </c>
      <c r="BE699" s="1" t="s">
        <v>7080</v>
      </c>
      <c r="BF699" s="2" t="str">
        <f>HYPERLINK("http://dx.doi.org/10.1016/j.compag.2022.107105","http://dx.doi.org/10.1016/j.compag.2022.107105")</f>
        <v>http://dx.doi.org/10.1016/j.compag.2022.107105</v>
      </c>
      <c r="BG699" s="1" t="s">
        <v>74</v>
      </c>
      <c r="BH699" s="1" t="s">
        <v>623</v>
      </c>
      <c r="BI699" s="1" t="s">
        <v>74</v>
      </c>
      <c r="BJ699" s="1" t="s">
        <v>74</v>
      </c>
      <c r="BK699" s="1" t="s">
        <v>74</v>
      </c>
      <c r="BL699" s="1" t="s">
        <v>74</v>
      </c>
      <c r="BM699" s="1" t="s">
        <v>74</v>
      </c>
      <c r="BN699" s="1" t="s">
        <v>74</v>
      </c>
      <c r="BO699" s="1" t="s">
        <v>74</v>
      </c>
      <c r="BP699" s="1" t="s">
        <v>74</v>
      </c>
      <c r="BQ699" s="1" t="s">
        <v>74</v>
      </c>
      <c r="BR699" s="1" t="s">
        <v>74</v>
      </c>
      <c r="BS699" s="1" t="s">
        <v>7081</v>
      </c>
      <c r="BT699" s="1" t="str">
        <f>HYPERLINK("https%3A%2F%2Fwww.webofscience.com%2Fwos%2Fwoscc%2Ffull-record%2FWOS:000818589000003","View Full Record in Web of Science")</f>
        <v>View Full Record in Web of Science</v>
      </c>
    </row>
    <row r="700" ht="12.75" customHeight="1">
      <c r="A700" s="1" t="s">
        <v>72</v>
      </c>
      <c r="B700" s="1" t="s">
        <v>7082</v>
      </c>
      <c r="C700" s="1" t="s">
        <v>74</v>
      </c>
      <c r="D700" s="1" t="s">
        <v>74</v>
      </c>
      <c r="E700" s="1" t="s">
        <v>74</v>
      </c>
      <c r="F700" s="1" t="s">
        <v>7083</v>
      </c>
      <c r="G700" s="1" t="s">
        <v>74</v>
      </c>
      <c r="H700" s="1" t="s">
        <v>74</v>
      </c>
      <c r="I700" s="1" t="s">
        <v>7084</v>
      </c>
      <c r="J700" s="1" t="s">
        <v>5722</v>
      </c>
      <c r="K700" s="1" t="s">
        <v>74</v>
      </c>
      <c r="L700" s="1" t="s">
        <v>74</v>
      </c>
      <c r="M700" s="1" t="s">
        <v>74</v>
      </c>
      <c r="N700" s="1" t="s">
        <v>74</v>
      </c>
      <c r="O700" s="1" t="s">
        <v>74</v>
      </c>
      <c r="P700" s="1" t="s">
        <v>74</v>
      </c>
      <c r="Q700" s="1" t="s">
        <v>74</v>
      </c>
      <c r="R700" s="1" t="s">
        <v>74</v>
      </c>
      <c r="S700" s="1" t="s">
        <v>74</v>
      </c>
      <c r="T700" s="1" t="s">
        <v>74</v>
      </c>
      <c r="U700" s="1" t="s">
        <v>74</v>
      </c>
      <c r="V700" s="1" t="s">
        <v>7085</v>
      </c>
      <c r="W700" s="1" t="s">
        <v>74</v>
      </c>
      <c r="X700" s="1" t="s">
        <v>74</v>
      </c>
      <c r="Y700" s="1" t="s">
        <v>74</v>
      </c>
      <c r="Z700" s="1" t="s">
        <v>74</v>
      </c>
      <c r="AA700" s="1" t="s">
        <v>7086</v>
      </c>
      <c r="AB700" s="1" t="s">
        <v>1812</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5726</v>
      </c>
      <c r="AP700" s="1" t="s">
        <v>5727</v>
      </c>
      <c r="AQ700" s="1" t="s">
        <v>74</v>
      </c>
      <c r="AR700" s="1" t="s">
        <v>74</v>
      </c>
      <c r="AS700" s="1" t="s">
        <v>74</v>
      </c>
      <c r="AT700" s="1" t="s">
        <v>1853</v>
      </c>
      <c r="AU700" s="1">
        <v>2025.0</v>
      </c>
      <c r="AV700" s="1">
        <v>467.0</v>
      </c>
      <c r="AW700" s="1" t="s">
        <v>74</v>
      </c>
      <c r="AX700" s="1" t="s">
        <v>74</v>
      </c>
      <c r="AY700" s="1" t="s">
        <v>74</v>
      </c>
      <c r="AZ700" s="1" t="s">
        <v>74</v>
      </c>
      <c r="BA700" s="1" t="s">
        <v>74</v>
      </c>
      <c r="BB700" s="1" t="s">
        <v>74</v>
      </c>
      <c r="BC700" s="1" t="s">
        <v>74</v>
      </c>
      <c r="BD700" s="1">
        <v>142345.0</v>
      </c>
      <c r="BE700" s="1" t="s">
        <v>7087</v>
      </c>
      <c r="BF700" s="2" t="str">
        <f>HYPERLINK("http://dx.doi.org/10.1016/j.foodchem.2024.142345","http://dx.doi.org/10.1016/j.foodchem.2024.142345")</f>
        <v>http://dx.doi.org/10.1016/j.foodchem.2024.142345</v>
      </c>
      <c r="BG700" s="1" t="s">
        <v>74</v>
      </c>
      <c r="BH700" s="1" t="s">
        <v>228</v>
      </c>
      <c r="BI700" s="1" t="s">
        <v>74</v>
      </c>
      <c r="BJ700" s="1" t="s">
        <v>74</v>
      </c>
      <c r="BK700" s="1" t="s">
        <v>74</v>
      </c>
      <c r="BL700" s="1" t="s">
        <v>74</v>
      </c>
      <c r="BM700" s="1" t="s">
        <v>74</v>
      </c>
      <c r="BN700" s="1">
        <v>3.9672042E7</v>
      </c>
      <c r="BO700" s="1" t="s">
        <v>74</v>
      </c>
      <c r="BP700" s="1" t="s">
        <v>74</v>
      </c>
      <c r="BQ700" s="1" t="s">
        <v>74</v>
      </c>
      <c r="BR700" s="1" t="s">
        <v>74</v>
      </c>
      <c r="BS700" s="1" t="s">
        <v>7088</v>
      </c>
      <c r="BT700" s="1" t="str">
        <f>HYPERLINK("https%3A%2F%2Fwww.webofscience.com%2Fwos%2Fwoscc%2Ffull-record%2FWOS:001386095200001","View Full Record in Web of Science")</f>
        <v>View Full Record in Web of Science</v>
      </c>
    </row>
    <row r="701" ht="12.75" customHeight="1">
      <c r="A701" s="1" t="s">
        <v>72</v>
      </c>
      <c r="B701" s="1" t="s">
        <v>7089</v>
      </c>
      <c r="C701" s="1" t="s">
        <v>74</v>
      </c>
      <c r="D701" s="1" t="s">
        <v>74</v>
      </c>
      <c r="E701" s="1" t="s">
        <v>74</v>
      </c>
      <c r="F701" s="1" t="s">
        <v>7090</v>
      </c>
      <c r="G701" s="1" t="s">
        <v>74</v>
      </c>
      <c r="H701" s="1" t="s">
        <v>74</v>
      </c>
      <c r="I701" s="1" t="s">
        <v>7091</v>
      </c>
      <c r="J701" s="1" t="s">
        <v>7092</v>
      </c>
      <c r="K701" s="1" t="s">
        <v>74</v>
      </c>
      <c r="L701" s="1" t="s">
        <v>74</v>
      </c>
      <c r="M701" s="1" t="s">
        <v>74</v>
      </c>
      <c r="N701" s="1" t="s">
        <v>74</v>
      </c>
      <c r="O701" s="1" t="s">
        <v>74</v>
      </c>
      <c r="P701" s="1" t="s">
        <v>74</v>
      </c>
      <c r="Q701" s="1" t="s">
        <v>74</v>
      </c>
      <c r="R701" s="1" t="s">
        <v>74</v>
      </c>
      <c r="S701" s="1" t="s">
        <v>74</v>
      </c>
      <c r="T701" s="1" t="s">
        <v>74</v>
      </c>
      <c r="U701" s="1" t="s">
        <v>74</v>
      </c>
      <c r="V701" s="1" t="s">
        <v>7093</v>
      </c>
      <c r="W701" s="1" t="s">
        <v>74</v>
      </c>
      <c r="X701" s="1" t="s">
        <v>74</v>
      </c>
      <c r="Y701" s="1" t="s">
        <v>74</v>
      </c>
      <c r="Z701" s="1" t="s">
        <v>74</v>
      </c>
      <c r="AA701" s="1" t="s">
        <v>7094</v>
      </c>
      <c r="AB701" s="1" t="s">
        <v>7095</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7096</v>
      </c>
      <c r="AP701" s="1" t="s">
        <v>7097</v>
      </c>
      <c r="AQ701" s="1" t="s">
        <v>74</v>
      </c>
      <c r="AR701" s="1" t="s">
        <v>74</v>
      </c>
      <c r="AS701" s="1" t="s">
        <v>74</v>
      </c>
      <c r="AT701" s="1" t="s">
        <v>94</v>
      </c>
      <c r="AU701" s="1">
        <v>2021.0</v>
      </c>
      <c r="AV701" s="1">
        <v>162.0</v>
      </c>
      <c r="AW701" s="1">
        <v>6.0</v>
      </c>
      <c r="AX701" s="1" t="s">
        <v>74</v>
      </c>
      <c r="AY701" s="1" t="s">
        <v>74</v>
      </c>
      <c r="AZ701" s="1" t="s">
        <v>74</v>
      </c>
      <c r="BA701" s="1" t="s">
        <v>74</v>
      </c>
      <c r="BB701" s="1" t="s">
        <v>74</v>
      </c>
      <c r="BC701" s="1" t="s">
        <v>74</v>
      </c>
      <c r="BD701" s="1">
        <v>235.0</v>
      </c>
      <c r="BE701" s="1" t="s">
        <v>7098</v>
      </c>
      <c r="BF701" s="2" t="str">
        <f>HYPERLINK("http://dx.doi.org/10.3847/1538-3881/ac21d1","http://dx.doi.org/10.3847/1538-3881/ac21d1")</f>
        <v>http://dx.doi.org/10.3847/1538-3881/ac21d1</v>
      </c>
      <c r="BG701" s="1" t="s">
        <v>74</v>
      </c>
      <c r="BH701" s="1" t="s">
        <v>74</v>
      </c>
      <c r="BI701" s="1" t="s">
        <v>74</v>
      </c>
      <c r="BJ701" s="1" t="s">
        <v>74</v>
      </c>
      <c r="BK701" s="1" t="s">
        <v>74</v>
      </c>
      <c r="BL701" s="1" t="s">
        <v>74</v>
      </c>
      <c r="BM701" s="1" t="s">
        <v>74</v>
      </c>
      <c r="BN701" s="1" t="s">
        <v>74</v>
      </c>
      <c r="BO701" s="1" t="s">
        <v>74</v>
      </c>
      <c r="BP701" s="1" t="s">
        <v>74</v>
      </c>
      <c r="BQ701" s="1" t="s">
        <v>74</v>
      </c>
      <c r="BR701" s="1" t="s">
        <v>74</v>
      </c>
      <c r="BS701" s="1" t="s">
        <v>7099</v>
      </c>
      <c r="BT701" s="1" t="str">
        <f>HYPERLINK("https%3A%2F%2Fwww.webofscience.com%2Fwos%2Fwoscc%2Ffull-record%2FWOS:000716745700001","View Full Record in Web of Science")</f>
        <v>View Full Record in Web of Science</v>
      </c>
    </row>
    <row r="702" ht="12.75" customHeight="1">
      <c r="A702" s="1" t="s">
        <v>72</v>
      </c>
      <c r="B702" s="1" t="s">
        <v>7100</v>
      </c>
      <c r="C702" s="1" t="s">
        <v>74</v>
      </c>
      <c r="D702" s="1" t="s">
        <v>74</v>
      </c>
      <c r="E702" s="1" t="s">
        <v>74</v>
      </c>
      <c r="F702" s="1" t="s">
        <v>7101</v>
      </c>
      <c r="G702" s="1" t="s">
        <v>74</v>
      </c>
      <c r="H702" s="1" t="s">
        <v>74</v>
      </c>
      <c r="I702" s="1" t="s">
        <v>7102</v>
      </c>
      <c r="J702" s="1" t="s">
        <v>7103</v>
      </c>
      <c r="K702" s="1" t="s">
        <v>74</v>
      </c>
      <c r="L702" s="1" t="s">
        <v>74</v>
      </c>
      <c r="M702" s="1" t="s">
        <v>74</v>
      </c>
      <c r="N702" s="1" t="s">
        <v>74</v>
      </c>
      <c r="O702" s="1" t="s">
        <v>74</v>
      </c>
      <c r="P702" s="1" t="s">
        <v>74</v>
      </c>
      <c r="Q702" s="1" t="s">
        <v>74</v>
      </c>
      <c r="R702" s="1" t="s">
        <v>74</v>
      </c>
      <c r="S702" s="1" t="s">
        <v>74</v>
      </c>
      <c r="T702" s="1" t="s">
        <v>74</v>
      </c>
      <c r="U702" s="1" t="s">
        <v>74</v>
      </c>
      <c r="V702" s="1" t="s">
        <v>7104</v>
      </c>
      <c r="W702" s="1" t="s">
        <v>74</v>
      </c>
      <c r="X702" s="1" t="s">
        <v>74</v>
      </c>
      <c r="Y702" s="1" t="s">
        <v>74</v>
      </c>
      <c r="Z702" s="1" t="s">
        <v>74</v>
      </c>
      <c r="AA702" s="1" t="s">
        <v>74</v>
      </c>
      <c r="AB702" s="1" t="s">
        <v>7105</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7106</v>
      </c>
      <c r="AP702" s="1" t="s">
        <v>7107</v>
      </c>
      <c r="AQ702" s="1" t="s">
        <v>74</v>
      </c>
      <c r="AR702" s="1" t="s">
        <v>74</v>
      </c>
      <c r="AS702" s="1" t="s">
        <v>74</v>
      </c>
      <c r="AT702" s="1" t="s">
        <v>141</v>
      </c>
      <c r="AU702" s="1">
        <v>2016.0</v>
      </c>
      <c r="AV702" s="1">
        <v>42.0</v>
      </c>
      <c r="AW702" s="1">
        <v>9.0</v>
      </c>
      <c r="AX702" s="1" t="s">
        <v>74</v>
      </c>
      <c r="AY702" s="1" t="s">
        <v>74</v>
      </c>
      <c r="AZ702" s="1" t="s">
        <v>74</v>
      </c>
      <c r="BA702" s="1" t="s">
        <v>74</v>
      </c>
      <c r="BB702" s="1">
        <v>2209.0</v>
      </c>
      <c r="BC702" s="1">
        <v>2219.0</v>
      </c>
      <c r="BD702" s="1" t="s">
        <v>74</v>
      </c>
      <c r="BE702" s="1" t="s">
        <v>7108</v>
      </c>
      <c r="BF702" s="2" t="str">
        <f>HYPERLINK("http://dx.doi.org/10.1016/j.ultrasmedbio.2016.04.013","http://dx.doi.org/10.1016/j.ultrasmedbio.2016.04.013")</f>
        <v>http://dx.doi.org/10.1016/j.ultrasmedbio.2016.04.013</v>
      </c>
      <c r="BG702" s="1" t="s">
        <v>74</v>
      </c>
      <c r="BH702" s="1" t="s">
        <v>74</v>
      </c>
      <c r="BI702" s="1" t="s">
        <v>74</v>
      </c>
      <c r="BJ702" s="1" t="s">
        <v>74</v>
      </c>
      <c r="BK702" s="1" t="s">
        <v>74</v>
      </c>
      <c r="BL702" s="1" t="s">
        <v>74</v>
      </c>
      <c r="BM702" s="1" t="s">
        <v>74</v>
      </c>
      <c r="BN702" s="1">
        <v>2.7222246E7</v>
      </c>
      <c r="BO702" s="1" t="s">
        <v>74</v>
      </c>
      <c r="BP702" s="1" t="s">
        <v>74</v>
      </c>
      <c r="BQ702" s="1" t="s">
        <v>74</v>
      </c>
      <c r="BR702" s="1" t="s">
        <v>74</v>
      </c>
      <c r="BS702" s="1" t="s">
        <v>7109</v>
      </c>
      <c r="BT702" s="1" t="str">
        <f>HYPERLINK("https%3A%2F%2Fwww.webofscience.com%2Fwos%2Fwoscc%2Ffull-record%2FWOS:000388314000021","View Full Record in Web of Science")</f>
        <v>View Full Record in Web of Science</v>
      </c>
    </row>
    <row r="703" ht="12.75" customHeight="1">
      <c r="A703" s="1" t="s">
        <v>72</v>
      </c>
      <c r="B703" s="1" t="s">
        <v>7110</v>
      </c>
      <c r="C703" s="1" t="s">
        <v>74</v>
      </c>
      <c r="D703" s="1" t="s">
        <v>74</v>
      </c>
      <c r="E703" s="1" t="s">
        <v>74</v>
      </c>
      <c r="F703" s="1" t="s">
        <v>7111</v>
      </c>
      <c r="G703" s="1" t="s">
        <v>74</v>
      </c>
      <c r="H703" s="1" t="s">
        <v>74</v>
      </c>
      <c r="I703" s="1" t="s">
        <v>7112</v>
      </c>
      <c r="J703" s="1" t="s">
        <v>7113</v>
      </c>
      <c r="K703" s="1" t="s">
        <v>74</v>
      </c>
      <c r="L703" s="1" t="s">
        <v>74</v>
      </c>
      <c r="M703" s="1" t="s">
        <v>74</v>
      </c>
      <c r="N703" s="1" t="s">
        <v>74</v>
      </c>
      <c r="O703" s="1" t="s">
        <v>74</v>
      </c>
      <c r="P703" s="1" t="s">
        <v>74</v>
      </c>
      <c r="Q703" s="1" t="s">
        <v>74</v>
      </c>
      <c r="R703" s="1" t="s">
        <v>74</v>
      </c>
      <c r="S703" s="1" t="s">
        <v>74</v>
      </c>
      <c r="T703" s="1" t="s">
        <v>74</v>
      </c>
      <c r="U703" s="1" t="s">
        <v>74</v>
      </c>
      <c r="V703" s="1" t="s">
        <v>7114</v>
      </c>
      <c r="W703" s="1" t="s">
        <v>74</v>
      </c>
      <c r="X703" s="1" t="s">
        <v>74</v>
      </c>
      <c r="Y703" s="1" t="s">
        <v>74</v>
      </c>
      <c r="Z703" s="1" t="s">
        <v>74</v>
      </c>
      <c r="AA703" s="1" t="s">
        <v>7115</v>
      </c>
      <c r="AB703" s="1" t="s">
        <v>7116</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7117</v>
      </c>
      <c r="AP703" s="1" t="s">
        <v>7118</v>
      </c>
      <c r="AQ703" s="1" t="s">
        <v>74</v>
      </c>
      <c r="AR703" s="1" t="s">
        <v>74</v>
      </c>
      <c r="AS703" s="1" t="s">
        <v>74</v>
      </c>
      <c r="AT703" s="1" t="s">
        <v>447</v>
      </c>
      <c r="AU703" s="1">
        <v>2023.0</v>
      </c>
      <c r="AV703" s="1">
        <v>227.0</v>
      </c>
      <c r="AW703" s="1" t="s">
        <v>74</v>
      </c>
      <c r="AX703" s="1" t="s">
        <v>74</v>
      </c>
      <c r="AY703" s="1" t="s">
        <v>74</v>
      </c>
      <c r="AZ703" s="1" t="s">
        <v>74</v>
      </c>
      <c r="BA703" s="1" t="s">
        <v>74</v>
      </c>
      <c r="BB703" s="1" t="s">
        <v>74</v>
      </c>
      <c r="BC703" s="1" t="s">
        <v>74</v>
      </c>
      <c r="BD703" s="1">
        <v>112304.0</v>
      </c>
      <c r="BE703" s="1" t="s">
        <v>7119</v>
      </c>
      <c r="BF703" s="2" t="str">
        <f>HYPERLINK("http://dx.doi.org/10.1016/j.commatsci.2023.112304","http://dx.doi.org/10.1016/j.commatsci.2023.112304")</f>
        <v>http://dx.doi.org/10.1016/j.commatsci.2023.112304</v>
      </c>
      <c r="BG703" s="1" t="s">
        <v>74</v>
      </c>
      <c r="BH703" s="1" t="s">
        <v>1507</v>
      </c>
      <c r="BI703" s="1" t="s">
        <v>74</v>
      </c>
      <c r="BJ703" s="1" t="s">
        <v>74</v>
      </c>
      <c r="BK703" s="1" t="s">
        <v>74</v>
      </c>
      <c r="BL703" s="1" t="s">
        <v>74</v>
      </c>
      <c r="BM703" s="1" t="s">
        <v>74</v>
      </c>
      <c r="BN703" s="1" t="s">
        <v>74</v>
      </c>
      <c r="BO703" s="1" t="s">
        <v>74</v>
      </c>
      <c r="BP703" s="1" t="s">
        <v>74</v>
      </c>
      <c r="BQ703" s="1" t="s">
        <v>74</v>
      </c>
      <c r="BR703" s="1" t="s">
        <v>74</v>
      </c>
      <c r="BS703" s="1" t="s">
        <v>7120</v>
      </c>
      <c r="BT703" s="1" t="str">
        <f>HYPERLINK("https%3A%2F%2Fwww.webofscience.com%2Fwos%2Fwoscc%2Ffull-record%2FWOS:001017257600001","View Full Record in Web of Science")</f>
        <v>View Full Record in Web of Science</v>
      </c>
    </row>
    <row r="704" ht="12.75" customHeight="1">
      <c r="A704" s="1" t="s">
        <v>72</v>
      </c>
      <c r="B704" s="1" t="s">
        <v>7121</v>
      </c>
      <c r="C704" s="1" t="s">
        <v>74</v>
      </c>
      <c r="D704" s="1" t="s">
        <v>74</v>
      </c>
      <c r="E704" s="1" t="s">
        <v>74</v>
      </c>
      <c r="F704" s="1" t="s">
        <v>7122</v>
      </c>
      <c r="G704" s="1" t="s">
        <v>74</v>
      </c>
      <c r="H704" s="1" t="s">
        <v>74</v>
      </c>
      <c r="I704" s="1" t="s">
        <v>7123</v>
      </c>
      <c r="J704" s="1" t="s">
        <v>7124</v>
      </c>
      <c r="K704" s="1" t="s">
        <v>74</v>
      </c>
      <c r="L704" s="1" t="s">
        <v>74</v>
      </c>
      <c r="M704" s="1" t="s">
        <v>74</v>
      </c>
      <c r="N704" s="1" t="s">
        <v>74</v>
      </c>
      <c r="O704" s="1" t="s">
        <v>7125</v>
      </c>
      <c r="P704" s="1" t="s">
        <v>7126</v>
      </c>
      <c r="Q704" s="1" t="s">
        <v>7127</v>
      </c>
      <c r="R704" s="1" t="s">
        <v>7128</v>
      </c>
      <c r="S704" s="1" t="s">
        <v>74</v>
      </c>
      <c r="T704" s="1" t="s">
        <v>74</v>
      </c>
      <c r="U704" s="1" t="s">
        <v>74</v>
      </c>
      <c r="V704" s="1" t="s">
        <v>74</v>
      </c>
      <c r="W704" s="1" t="s">
        <v>74</v>
      </c>
      <c r="X704" s="1" t="s">
        <v>74</v>
      </c>
      <c r="Y704" s="1" t="s">
        <v>74</v>
      </c>
      <c r="Z704" s="1" t="s">
        <v>74</v>
      </c>
      <c r="AA704" s="1" t="s">
        <v>7129</v>
      </c>
      <c r="AB704" s="1" t="s">
        <v>74</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7130</v>
      </c>
      <c r="AP704" s="1" t="s">
        <v>7131</v>
      </c>
      <c r="AQ704" s="1" t="s">
        <v>74</v>
      </c>
      <c r="AR704" s="1" t="s">
        <v>74</v>
      </c>
      <c r="AS704" s="1" t="s">
        <v>74</v>
      </c>
      <c r="AT704" s="1" t="s">
        <v>94</v>
      </c>
      <c r="AU704" s="1">
        <v>2022.0</v>
      </c>
      <c r="AV704" s="1">
        <v>88.0</v>
      </c>
      <c r="AW704" s="1">
        <v>15.0</v>
      </c>
      <c r="AX704" s="1" t="s">
        <v>74</v>
      </c>
      <c r="AY704" s="1" t="s">
        <v>74</v>
      </c>
      <c r="AZ704" s="1" t="s">
        <v>74</v>
      </c>
      <c r="BA704" s="1" t="s">
        <v>7132</v>
      </c>
      <c r="BB704" s="1">
        <v>1409.0</v>
      </c>
      <c r="BC704" s="1">
        <v>1410.0</v>
      </c>
      <c r="BD704" s="1" t="s">
        <v>74</v>
      </c>
      <c r="BE704" s="1" t="s">
        <v>7133</v>
      </c>
      <c r="BF704" s="2" t="str">
        <f>HYPERLINK("http://dx.doi.org/10.1055/s-0042-1758932","http://dx.doi.org/10.1055/s-0042-1758932")</f>
        <v>http://dx.doi.org/10.1055/s-0042-1758932</v>
      </c>
      <c r="BG704" s="1" t="s">
        <v>74</v>
      </c>
      <c r="BH704" s="1" t="s">
        <v>74</v>
      </c>
      <c r="BI704" s="1" t="s">
        <v>74</v>
      </c>
      <c r="BJ704" s="1" t="s">
        <v>74</v>
      </c>
      <c r="BK704" s="1" t="s">
        <v>74</v>
      </c>
      <c r="BL704" s="1" t="s">
        <v>74</v>
      </c>
      <c r="BM704" s="1" t="s">
        <v>74</v>
      </c>
      <c r="BN704" s="1" t="s">
        <v>74</v>
      </c>
      <c r="BO704" s="1" t="s">
        <v>74</v>
      </c>
      <c r="BP704" s="1" t="s">
        <v>74</v>
      </c>
      <c r="BQ704" s="1" t="s">
        <v>74</v>
      </c>
      <c r="BR704" s="1" t="s">
        <v>74</v>
      </c>
      <c r="BS704" s="1" t="s">
        <v>7134</v>
      </c>
      <c r="BT704" s="1" t="str">
        <f>HYPERLINK("https%3A%2F%2Fwww.webofscience.com%2Fwos%2Fwoscc%2Ffull-record%2FWOS:000921330500054","View Full Record in Web of Science")</f>
        <v>View Full Record in Web of Science</v>
      </c>
    </row>
    <row r="705" ht="12.75" customHeight="1">
      <c r="A705" s="1" t="s">
        <v>72</v>
      </c>
      <c r="B705" s="1" t="s">
        <v>7135</v>
      </c>
      <c r="C705" s="1" t="s">
        <v>74</v>
      </c>
      <c r="D705" s="1" t="s">
        <v>74</v>
      </c>
      <c r="E705" s="1" t="s">
        <v>74</v>
      </c>
      <c r="F705" s="1" t="s">
        <v>7136</v>
      </c>
      <c r="G705" s="1" t="s">
        <v>74</v>
      </c>
      <c r="H705" s="1" t="s">
        <v>74</v>
      </c>
      <c r="I705" s="1" t="s">
        <v>7137</v>
      </c>
      <c r="J705" s="1" t="s">
        <v>871</v>
      </c>
      <c r="K705" s="1" t="s">
        <v>74</v>
      </c>
      <c r="L705" s="1" t="s">
        <v>74</v>
      </c>
      <c r="M705" s="1" t="s">
        <v>74</v>
      </c>
      <c r="N705" s="1" t="s">
        <v>74</v>
      </c>
      <c r="O705" s="1" t="s">
        <v>74</v>
      </c>
      <c r="P705" s="1" t="s">
        <v>74</v>
      </c>
      <c r="Q705" s="1" t="s">
        <v>74</v>
      </c>
      <c r="R705" s="1" t="s">
        <v>74</v>
      </c>
      <c r="S705" s="1" t="s">
        <v>74</v>
      </c>
      <c r="T705" s="1" t="s">
        <v>74</v>
      </c>
      <c r="U705" s="1" t="s">
        <v>74</v>
      </c>
      <c r="V705" s="1" t="s">
        <v>7138</v>
      </c>
      <c r="W705" s="1" t="s">
        <v>74</v>
      </c>
      <c r="X705" s="1" t="s">
        <v>74</v>
      </c>
      <c r="Y705" s="1" t="s">
        <v>74</v>
      </c>
      <c r="Z705" s="1" t="s">
        <v>74</v>
      </c>
      <c r="AA705" s="1" t="s">
        <v>7139</v>
      </c>
      <c r="AB705" s="1" t="s">
        <v>7140</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74</v>
      </c>
      <c r="AP705" s="1" t="s">
        <v>875</v>
      </c>
      <c r="AQ705" s="1" t="s">
        <v>74</v>
      </c>
      <c r="AR705" s="1" t="s">
        <v>74</v>
      </c>
      <c r="AS705" s="1" t="s">
        <v>74</v>
      </c>
      <c r="AT705" s="1" t="s">
        <v>94</v>
      </c>
      <c r="AU705" s="1">
        <v>2021.0</v>
      </c>
      <c r="AV705" s="1">
        <v>14.0</v>
      </c>
      <c r="AW705" s="1">
        <v>24.0</v>
      </c>
      <c r="AX705" s="1" t="s">
        <v>74</v>
      </c>
      <c r="AY705" s="1" t="s">
        <v>74</v>
      </c>
      <c r="AZ705" s="1" t="s">
        <v>74</v>
      </c>
      <c r="BA705" s="1" t="s">
        <v>74</v>
      </c>
      <c r="BB705" s="1" t="s">
        <v>74</v>
      </c>
      <c r="BC705" s="1" t="s">
        <v>74</v>
      </c>
      <c r="BD705" s="1">
        <v>7735.0</v>
      </c>
      <c r="BE705" s="1" t="s">
        <v>7141</v>
      </c>
      <c r="BF705" s="2" t="str">
        <f>HYPERLINK("http://dx.doi.org/10.3390/ma14247735","http://dx.doi.org/10.3390/ma14247735")</f>
        <v>http://dx.doi.org/10.3390/ma14247735</v>
      </c>
      <c r="BG705" s="1" t="s">
        <v>74</v>
      </c>
      <c r="BH705" s="1" t="s">
        <v>74</v>
      </c>
      <c r="BI705" s="1" t="s">
        <v>74</v>
      </c>
      <c r="BJ705" s="1" t="s">
        <v>74</v>
      </c>
      <c r="BK705" s="1" t="s">
        <v>74</v>
      </c>
      <c r="BL705" s="1" t="s">
        <v>74</v>
      </c>
      <c r="BM705" s="1" t="s">
        <v>74</v>
      </c>
      <c r="BN705" s="1">
        <v>3.4947329E7</v>
      </c>
      <c r="BO705" s="1" t="s">
        <v>74</v>
      </c>
      <c r="BP705" s="1" t="s">
        <v>74</v>
      </c>
      <c r="BQ705" s="1" t="s">
        <v>74</v>
      </c>
      <c r="BR705" s="1" t="s">
        <v>74</v>
      </c>
      <c r="BS705" s="1" t="s">
        <v>7142</v>
      </c>
      <c r="BT705" s="1" t="str">
        <f>HYPERLINK("https%3A%2F%2Fwww.webofscience.com%2Fwos%2Fwoscc%2Ffull-record%2FWOS:000738730900001","View Full Record in Web of Science")</f>
        <v>View Full Record in Web of Science</v>
      </c>
    </row>
    <row r="706" ht="12.75" customHeight="1">
      <c r="A706" s="1" t="s">
        <v>72</v>
      </c>
      <c r="B706" s="1" t="s">
        <v>7143</v>
      </c>
      <c r="C706" s="1" t="s">
        <v>74</v>
      </c>
      <c r="D706" s="1" t="s">
        <v>74</v>
      </c>
      <c r="E706" s="1" t="s">
        <v>74</v>
      </c>
      <c r="F706" s="1" t="s">
        <v>7144</v>
      </c>
      <c r="G706" s="1" t="s">
        <v>74</v>
      </c>
      <c r="H706" s="1" t="s">
        <v>74</v>
      </c>
      <c r="I706" s="1" t="s">
        <v>7145</v>
      </c>
      <c r="J706" s="1" t="s">
        <v>1204</v>
      </c>
      <c r="K706" s="1" t="s">
        <v>74</v>
      </c>
      <c r="L706" s="1" t="s">
        <v>74</v>
      </c>
      <c r="M706" s="1" t="s">
        <v>74</v>
      </c>
      <c r="N706" s="1" t="s">
        <v>74</v>
      </c>
      <c r="O706" s="1" t="s">
        <v>74</v>
      </c>
      <c r="P706" s="1" t="s">
        <v>74</v>
      </c>
      <c r="Q706" s="1" t="s">
        <v>74</v>
      </c>
      <c r="R706" s="1" t="s">
        <v>74</v>
      </c>
      <c r="S706" s="1" t="s">
        <v>74</v>
      </c>
      <c r="T706" s="1" t="s">
        <v>74</v>
      </c>
      <c r="U706" s="1" t="s">
        <v>74</v>
      </c>
      <c r="V706" s="1" t="s">
        <v>7146</v>
      </c>
      <c r="W706" s="1" t="s">
        <v>74</v>
      </c>
      <c r="X706" s="1" t="s">
        <v>74</v>
      </c>
      <c r="Y706" s="1" t="s">
        <v>74</v>
      </c>
      <c r="Z706" s="1" t="s">
        <v>74</v>
      </c>
      <c r="AA706" s="1" t="s">
        <v>7147</v>
      </c>
      <c r="AB706" s="1" t="s">
        <v>7148</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1208</v>
      </c>
      <c r="AP706" s="1" t="s">
        <v>1209</v>
      </c>
      <c r="AQ706" s="1" t="s">
        <v>74</v>
      </c>
      <c r="AR706" s="1" t="s">
        <v>74</v>
      </c>
      <c r="AS706" s="1" t="s">
        <v>74</v>
      </c>
      <c r="AT706" s="1" t="s">
        <v>447</v>
      </c>
      <c r="AU706" s="1">
        <v>2021.0</v>
      </c>
      <c r="AV706" s="1">
        <v>28.0</v>
      </c>
      <c r="AW706" s="1">
        <v>32.0</v>
      </c>
      <c r="AX706" s="1" t="s">
        <v>74</v>
      </c>
      <c r="AY706" s="1" t="s">
        <v>74</v>
      </c>
      <c r="AZ706" s="1" t="s">
        <v>74</v>
      </c>
      <c r="BA706" s="1" t="s">
        <v>74</v>
      </c>
      <c r="BB706" s="1">
        <v>43143.0</v>
      </c>
      <c r="BC706" s="1">
        <v>43172.0</v>
      </c>
      <c r="BD706" s="1" t="s">
        <v>74</v>
      </c>
      <c r="BE706" s="1" t="s">
        <v>7149</v>
      </c>
      <c r="BF706" s="2" t="str">
        <f>HYPERLINK("http://dx.doi.org/10.1007/s11356-021-14631-w","http://dx.doi.org/10.1007/s11356-021-14631-w")</f>
        <v>http://dx.doi.org/10.1007/s11356-021-14631-w</v>
      </c>
      <c r="BG706" s="1" t="s">
        <v>74</v>
      </c>
      <c r="BH706" s="1" t="s">
        <v>7150</v>
      </c>
      <c r="BI706" s="1" t="s">
        <v>74</v>
      </c>
      <c r="BJ706" s="1" t="s">
        <v>74</v>
      </c>
      <c r="BK706" s="1" t="s">
        <v>74</v>
      </c>
      <c r="BL706" s="1" t="s">
        <v>74</v>
      </c>
      <c r="BM706" s="1" t="s">
        <v>74</v>
      </c>
      <c r="BN706" s="1">
        <v>3.4164789E7</v>
      </c>
      <c r="BO706" s="1" t="s">
        <v>74</v>
      </c>
      <c r="BP706" s="1" t="s">
        <v>74</v>
      </c>
      <c r="BQ706" s="1" t="s">
        <v>74</v>
      </c>
      <c r="BR706" s="1" t="s">
        <v>74</v>
      </c>
      <c r="BS706" s="1" t="s">
        <v>7151</v>
      </c>
      <c r="BT706" s="1" t="str">
        <f>HYPERLINK("https%3A%2F%2Fwww.webofscience.com%2Fwos%2Fwoscc%2Ffull-record%2FWOS:000664869900008","View Full Record in Web of Science")</f>
        <v>View Full Record in Web of Science</v>
      </c>
    </row>
    <row r="707" ht="12.75" customHeight="1">
      <c r="A707" s="1" t="s">
        <v>72</v>
      </c>
      <c r="B707" s="1" t="s">
        <v>7152</v>
      </c>
      <c r="C707" s="1" t="s">
        <v>74</v>
      </c>
      <c r="D707" s="1" t="s">
        <v>74</v>
      </c>
      <c r="E707" s="1" t="s">
        <v>74</v>
      </c>
      <c r="F707" s="1" t="s">
        <v>7153</v>
      </c>
      <c r="G707" s="1" t="s">
        <v>74</v>
      </c>
      <c r="H707" s="1" t="s">
        <v>74</v>
      </c>
      <c r="I707" s="1" t="s">
        <v>7154</v>
      </c>
      <c r="J707" s="1" t="s">
        <v>7155</v>
      </c>
      <c r="K707" s="1" t="s">
        <v>74</v>
      </c>
      <c r="L707" s="1" t="s">
        <v>74</v>
      </c>
      <c r="M707" s="1" t="s">
        <v>74</v>
      </c>
      <c r="N707" s="1" t="s">
        <v>74</v>
      </c>
      <c r="O707" s="1" t="s">
        <v>74</v>
      </c>
      <c r="P707" s="1" t="s">
        <v>74</v>
      </c>
      <c r="Q707" s="1" t="s">
        <v>74</v>
      </c>
      <c r="R707" s="1" t="s">
        <v>74</v>
      </c>
      <c r="S707" s="1" t="s">
        <v>74</v>
      </c>
      <c r="T707" s="1" t="s">
        <v>74</v>
      </c>
      <c r="U707" s="1" t="s">
        <v>74</v>
      </c>
      <c r="V707" s="1" t="s">
        <v>7156</v>
      </c>
      <c r="W707" s="1" t="s">
        <v>74</v>
      </c>
      <c r="X707" s="1" t="s">
        <v>74</v>
      </c>
      <c r="Y707" s="1" t="s">
        <v>74</v>
      </c>
      <c r="Z707" s="1" t="s">
        <v>74</v>
      </c>
      <c r="AA707" s="1" t="s">
        <v>7157</v>
      </c>
      <c r="AB707" s="1" t="s">
        <v>7158</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7159</v>
      </c>
      <c r="AP707" s="1" t="s">
        <v>74</v>
      </c>
      <c r="AQ707" s="1" t="s">
        <v>74</v>
      </c>
      <c r="AR707" s="1" t="s">
        <v>74</v>
      </c>
      <c r="AS707" s="1" t="s">
        <v>74</v>
      </c>
      <c r="AT707" s="1" t="s">
        <v>6878</v>
      </c>
      <c r="AU707" s="1">
        <v>2019.0</v>
      </c>
      <c r="AV707" s="1">
        <v>18.0</v>
      </c>
      <c r="AW707" s="1" t="s">
        <v>74</v>
      </c>
      <c r="AX707" s="1" t="s">
        <v>74</v>
      </c>
      <c r="AY707" s="1" t="s">
        <v>74</v>
      </c>
      <c r="AZ707" s="1" t="s">
        <v>74</v>
      </c>
      <c r="BA707" s="1" t="s">
        <v>74</v>
      </c>
      <c r="BB707" s="1" t="s">
        <v>74</v>
      </c>
      <c r="BC707" s="1" t="s">
        <v>74</v>
      </c>
      <c r="BD707" s="1">
        <v>42.0</v>
      </c>
      <c r="BE707" s="1" t="s">
        <v>7160</v>
      </c>
      <c r="BF707" s="2" t="str">
        <f>HYPERLINK("http://dx.doi.org/10.1186/s12944-019-0981-z","http://dx.doi.org/10.1186/s12944-019-0981-z")</f>
        <v>http://dx.doi.org/10.1186/s12944-019-0981-z</v>
      </c>
      <c r="BG707" s="1" t="s">
        <v>74</v>
      </c>
      <c r="BH707" s="1" t="s">
        <v>74</v>
      </c>
      <c r="BI707" s="1" t="s">
        <v>74</v>
      </c>
      <c r="BJ707" s="1" t="s">
        <v>74</v>
      </c>
      <c r="BK707" s="1" t="s">
        <v>74</v>
      </c>
      <c r="BL707" s="1" t="s">
        <v>74</v>
      </c>
      <c r="BM707" s="1" t="s">
        <v>74</v>
      </c>
      <c r="BN707" s="1">
        <v>3.0717757E7</v>
      </c>
      <c r="BO707" s="1" t="s">
        <v>74</v>
      </c>
      <c r="BP707" s="1" t="s">
        <v>74</v>
      </c>
      <c r="BQ707" s="1" t="s">
        <v>74</v>
      </c>
      <c r="BR707" s="1" t="s">
        <v>74</v>
      </c>
      <c r="BS707" s="1" t="s">
        <v>7161</v>
      </c>
      <c r="BT707" s="1" t="str">
        <f>HYPERLINK("https%3A%2F%2Fwww.webofscience.com%2Fwos%2Fwoscc%2Ffull-record%2FWOS:000457762400002","View Full Record in Web of Science")</f>
        <v>View Full Record in Web of Science</v>
      </c>
    </row>
    <row r="708" ht="12.75" customHeight="1">
      <c r="A708" s="1" t="s">
        <v>72</v>
      </c>
      <c r="B708" s="1" t="s">
        <v>7162</v>
      </c>
      <c r="C708" s="1" t="s">
        <v>74</v>
      </c>
      <c r="D708" s="1" t="s">
        <v>74</v>
      </c>
      <c r="E708" s="1" t="s">
        <v>74</v>
      </c>
      <c r="F708" s="1" t="s">
        <v>7163</v>
      </c>
      <c r="G708" s="1" t="s">
        <v>74</v>
      </c>
      <c r="H708" s="1" t="s">
        <v>74</v>
      </c>
      <c r="I708" s="1" t="s">
        <v>7164</v>
      </c>
      <c r="J708" s="1" t="s">
        <v>340</v>
      </c>
      <c r="K708" s="1" t="s">
        <v>74</v>
      </c>
      <c r="L708" s="1" t="s">
        <v>74</v>
      </c>
      <c r="M708" s="1" t="s">
        <v>74</v>
      </c>
      <c r="N708" s="1" t="s">
        <v>74</v>
      </c>
      <c r="O708" s="1" t="s">
        <v>74</v>
      </c>
      <c r="P708" s="1" t="s">
        <v>74</v>
      </c>
      <c r="Q708" s="1" t="s">
        <v>74</v>
      </c>
      <c r="R708" s="1" t="s">
        <v>74</v>
      </c>
      <c r="S708" s="1" t="s">
        <v>74</v>
      </c>
      <c r="T708" s="1" t="s">
        <v>74</v>
      </c>
      <c r="U708" s="1" t="s">
        <v>74</v>
      </c>
      <c r="V708" s="1" t="s">
        <v>7165</v>
      </c>
      <c r="W708" s="1" t="s">
        <v>74</v>
      </c>
      <c r="X708" s="1" t="s">
        <v>74</v>
      </c>
      <c r="Y708" s="1" t="s">
        <v>74</v>
      </c>
      <c r="Z708" s="1" t="s">
        <v>74</v>
      </c>
      <c r="AA708" s="1" t="s">
        <v>7166</v>
      </c>
      <c r="AB708" s="1" t="s">
        <v>7167</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344</v>
      </c>
      <c r="AP708" s="1" t="s">
        <v>345</v>
      </c>
      <c r="AQ708" s="1" t="s">
        <v>74</v>
      </c>
      <c r="AR708" s="1" t="s">
        <v>74</v>
      </c>
      <c r="AS708" s="1" t="s">
        <v>74</v>
      </c>
      <c r="AT708" s="1" t="s">
        <v>214</v>
      </c>
      <c r="AU708" s="1">
        <v>2016.0</v>
      </c>
      <c r="AV708" s="1">
        <v>28.0</v>
      </c>
      <c r="AW708" s="1">
        <v>2.0</v>
      </c>
      <c r="AX708" s="1" t="s">
        <v>74</v>
      </c>
      <c r="AY708" s="1" t="s">
        <v>74</v>
      </c>
      <c r="AZ708" s="1" t="s">
        <v>74</v>
      </c>
      <c r="BA708" s="1" t="s">
        <v>74</v>
      </c>
      <c r="BB708" s="1">
        <v>380.0</v>
      </c>
      <c r="BC708" s="1">
        <v>384.0</v>
      </c>
      <c r="BD708" s="1" t="s">
        <v>74</v>
      </c>
      <c r="BE708" s="1" t="s">
        <v>7168</v>
      </c>
      <c r="BF708" s="2" t="str">
        <f>HYPERLINK("http://dx.doi.org/10.1002/elan.201500307","http://dx.doi.org/10.1002/elan.201500307")</f>
        <v>http://dx.doi.org/10.1002/elan.201500307</v>
      </c>
      <c r="BG708" s="1" t="s">
        <v>74</v>
      </c>
      <c r="BH708" s="1" t="s">
        <v>74</v>
      </c>
      <c r="BI708" s="1" t="s">
        <v>74</v>
      </c>
      <c r="BJ708" s="1" t="s">
        <v>74</v>
      </c>
      <c r="BK708" s="1" t="s">
        <v>74</v>
      </c>
      <c r="BL708" s="1" t="s">
        <v>74</v>
      </c>
      <c r="BM708" s="1" t="s">
        <v>74</v>
      </c>
      <c r="BN708" s="1" t="s">
        <v>74</v>
      </c>
      <c r="BO708" s="1" t="s">
        <v>74</v>
      </c>
      <c r="BP708" s="1" t="s">
        <v>74</v>
      </c>
      <c r="BQ708" s="1" t="s">
        <v>74</v>
      </c>
      <c r="BR708" s="1" t="s">
        <v>74</v>
      </c>
      <c r="BS708" s="1" t="s">
        <v>7169</v>
      </c>
      <c r="BT708" s="1" t="str">
        <f>HYPERLINK("https%3A%2F%2Fwww.webofscience.com%2Fwos%2Fwoscc%2Ffull-record%2FWOS:000370138000017","View Full Record in Web of Science")</f>
        <v>View Full Record in Web of Science</v>
      </c>
    </row>
    <row r="709" ht="12.75" customHeight="1">
      <c r="A709" s="1" t="s">
        <v>72</v>
      </c>
      <c r="B709" s="1" t="s">
        <v>7170</v>
      </c>
      <c r="C709" s="1" t="s">
        <v>74</v>
      </c>
      <c r="D709" s="1" t="s">
        <v>74</v>
      </c>
      <c r="E709" s="1" t="s">
        <v>74</v>
      </c>
      <c r="F709" s="1" t="s">
        <v>7171</v>
      </c>
      <c r="G709" s="1" t="s">
        <v>74</v>
      </c>
      <c r="H709" s="1" t="s">
        <v>74</v>
      </c>
      <c r="I709" s="1" t="s">
        <v>7172</v>
      </c>
      <c r="J709" s="1" t="s">
        <v>7173</v>
      </c>
      <c r="K709" s="1" t="s">
        <v>74</v>
      </c>
      <c r="L709" s="1" t="s">
        <v>74</v>
      </c>
      <c r="M709" s="1" t="s">
        <v>74</v>
      </c>
      <c r="N709" s="1" t="s">
        <v>74</v>
      </c>
      <c r="O709" s="1" t="s">
        <v>74</v>
      </c>
      <c r="P709" s="1" t="s">
        <v>74</v>
      </c>
      <c r="Q709" s="1" t="s">
        <v>74</v>
      </c>
      <c r="R709" s="1" t="s">
        <v>74</v>
      </c>
      <c r="S709" s="1" t="s">
        <v>74</v>
      </c>
      <c r="T709" s="1" t="s">
        <v>74</v>
      </c>
      <c r="U709" s="1" t="s">
        <v>74</v>
      </c>
      <c r="V709" s="1" t="s">
        <v>7174</v>
      </c>
      <c r="W709" s="1" t="s">
        <v>74</v>
      </c>
      <c r="X709" s="1" t="s">
        <v>74</v>
      </c>
      <c r="Y709" s="1" t="s">
        <v>74</v>
      </c>
      <c r="Z709" s="1" t="s">
        <v>74</v>
      </c>
      <c r="AA709" s="1" t="s">
        <v>7175</v>
      </c>
      <c r="AB709" s="1" t="s">
        <v>7176</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7177</v>
      </c>
      <c r="AP709" s="1" t="s">
        <v>7178</v>
      </c>
      <c r="AQ709" s="1" t="s">
        <v>74</v>
      </c>
      <c r="AR709" s="1" t="s">
        <v>74</v>
      </c>
      <c r="AS709" s="1" t="s">
        <v>74</v>
      </c>
      <c r="AT709" s="1" t="s">
        <v>106</v>
      </c>
      <c r="AU709" s="1">
        <v>2018.0</v>
      </c>
      <c r="AV709" s="1">
        <v>59.0</v>
      </c>
      <c r="AW709" s="1" t="s">
        <v>74</v>
      </c>
      <c r="AX709" s="1" t="s">
        <v>74</v>
      </c>
      <c r="AY709" s="1" t="s">
        <v>74</v>
      </c>
      <c r="AZ709" s="1" t="s">
        <v>74</v>
      </c>
      <c r="BA709" s="1" t="s">
        <v>74</v>
      </c>
      <c r="BB709" s="1">
        <v>130.0</v>
      </c>
      <c r="BC709" s="1">
        <v>135.0</v>
      </c>
      <c r="BD709" s="1" t="s">
        <v>74</v>
      </c>
      <c r="BE709" s="1" t="s">
        <v>7179</v>
      </c>
      <c r="BF709" s="2" t="str">
        <f>HYPERLINK("http://dx.doi.org/10.1016/j.clinbiomech.2018.09.019","http://dx.doi.org/10.1016/j.clinbiomech.2018.09.019")</f>
        <v>http://dx.doi.org/10.1016/j.clinbiomech.2018.09.019</v>
      </c>
      <c r="BG709" s="1" t="s">
        <v>74</v>
      </c>
      <c r="BH709" s="1" t="s">
        <v>74</v>
      </c>
      <c r="BI709" s="1" t="s">
        <v>74</v>
      </c>
      <c r="BJ709" s="1" t="s">
        <v>74</v>
      </c>
      <c r="BK709" s="1" t="s">
        <v>74</v>
      </c>
      <c r="BL709" s="1" t="s">
        <v>74</v>
      </c>
      <c r="BM709" s="1" t="s">
        <v>74</v>
      </c>
      <c r="BN709" s="1">
        <v>3.0227278E7</v>
      </c>
      <c r="BO709" s="1" t="s">
        <v>74</v>
      </c>
      <c r="BP709" s="1" t="s">
        <v>74</v>
      </c>
      <c r="BQ709" s="1" t="s">
        <v>74</v>
      </c>
      <c r="BR709" s="1" t="s">
        <v>74</v>
      </c>
      <c r="BS709" s="1" t="s">
        <v>7180</v>
      </c>
      <c r="BT709" s="1" t="str">
        <f>HYPERLINK("https%3A%2F%2Fwww.webofscience.com%2Fwos%2Fwoscc%2Ffull-record%2FWOS:000451491900018","View Full Record in Web of Science")</f>
        <v>View Full Record in Web of Science</v>
      </c>
    </row>
    <row r="710" ht="12.75" customHeight="1">
      <c r="A710" s="1" t="s">
        <v>72</v>
      </c>
      <c r="B710" s="1" t="s">
        <v>7181</v>
      </c>
      <c r="C710" s="1" t="s">
        <v>74</v>
      </c>
      <c r="D710" s="1" t="s">
        <v>74</v>
      </c>
      <c r="E710" s="1" t="s">
        <v>74</v>
      </c>
      <c r="F710" s="1" t="s">
        <v>7182</v>
      </c>
      <c r="G710" s="1" t="s">
        <v>74</v>
      </c>
      <c r="H710" s="1" t="s">
        <v>74</v>
      </c>
      <c r="I710" s="1" t="s">
        <v>7183</v>
      </c>
      <c r="J710" s="1" t="s">
        <v>7184</v>
      </c>
      <c r="K710" s="1" t="s">
        <v>74</v>
      </c>
      <c r="L710" s="1" t="s">
        <v>74</v>
      </c>
      <c r="M710" s="1" t="s">
        <v>74</v>
      </c>
      <c r="N710" s="1" t="s">
        <v>74</v>
      </c>
      <c r="O710" s="1" t="s">
        <v>74</v>
      </c>
      <c r="P710" s="1" t="s">
        <v>74</v>
      </c>
      <c r="Q710" s="1" t="s">
        <v>74</v>
      </c>
      <c r="R710" s="1" t="s">
        <v>74</v>
      </c>
      <c r="S710" s="1" t="s">
        <v>74</v>
      </c>
      <c r="T710" s="1" t="s">
        <v>74</v>
      </c>
      <c r="U710" s="1" t="s">
        <v>74</v>
      </c>
      <c r="V710" s="1" t="s">
        <v>7185</v>
      </c>
      <c r="W710" s="1" t="s">
        <v>74</v>
      </c>
      <c r="X710" s="1" t="s">
        <v>74</v>
      </c>
      <c r="Y710" s="1" t="s">
        <v>74</v>
      </c>
      <c r="Z710" s="1" t="s">
        <v>74</v>
      </c>
      <c r="AA710" s="1" t="s">
        <v>7186</v>
      </c>
      <c r="AB710" s="1" t="s">
        <v>7187</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7188</v>
      </c>
      <c r="AP710" s="1" t="s">
        <v>7189</v>
      </c>
      <c r="AQ710" s="1" t="s">
        <v>74</v>
      </c>
      <c r="AR710" s="1" t="s">
        <v>74</v>
      </c>
      <c r="AS710" s="1" t="s">
        <v>74</v>
      </c>
      <c r="AT710" s="1" t="s">
        <v>346</v>
      </c>
      <c r="AU710" s="1">
        <v>2023.0</v>
      </c>
      <c r="AV710" s="1">
        <v>223.0</v>
      </c>
      <c r="AW710" s="1" t="s">
        <v>74</v>
      </c>
      <c r="AX710" s="1" t="s">
        <v>74</v>
      </c>
      <c r="AY710" s="1" t="s">
        <v>74</v>
      </c>
      <c r="AZ710" s="1" t="s">
        <v>74</v>
      </c>
      <c r="BA710" s="1" t="s">
        <v>74</v>
      </c>
      <c r="BB710" s="1">
        <v>7.0</v>
      </c>
      <c r="BC710" s="1">
        <v>23.0</v>
      </c>
      <c r="BD710" s="1" t="s">
        <v>74</v>
      </c>
      <c r="BE710" s="1" t="s">
        <v>7190</v>
      </c>
      <c r="BF710" s="2" t="str">
        <f>HYPERLINK("http://dx.doi.org/10.1016/j.thromres.2023.01.014","http://dx.doi.org/10.1016/j.thromres.2023.01.014")</f>
        <v>http://dx.doi.org/10.1016/j.thromres.2023.01.014</v>
      </c>
      <c r="BG710" s="1" t="s">
        <v>74</v>
      </c>
      <c r="BH710" s="1" t="s">
        <v>7191</v>
      </c>
      <c r="BI710" s="1" t="s">
        <v>74</v>
      </c>
      <c r="BJ710" s="1" t="s">
        <v>74</v>
      </c>
      <c r="BK710" s="1" t="s">
        <v>74</v>
      </c>
      <c r="BL710" s="1" t="s">
        <v>74</v>
      </c>
      <c r="BM710" s="1" t="s">
        <v>74</v>
      </c>
      <c r="BN710" s="1">
        <v>3.6689805E7</v>
      </c>
      <c r="BO710" s="1" t="s">
        <v>74</v>
      </c>
      <c r="BP710" s="1" t="s">
        <v>74</v>
      </c>
      <c r="BQ710" s="1" t="s">
        <v>74</v>
      </c>
      <c r="BR710" s="1" t="s">
        <v>74</v>
      </c>
      <c r="BS710" s="1" t="s">
        <v>7192</v>
      </c>
      <c r="BT710" s="1" t="str">
        <f>HYPERLINK("https%3A%2F%2Fwww.webofscience.com%2Fwos%2Fwoscc%2Ffull-record%2FWOS:000925692100001","View Full Record in Web of Science")</f>
        <v>View Full Record in Web of Science</v>
      </c>
    </row>
    <row r="711" ht="12.75" customHeight="1">
      <c r="A711" s="1" t="s">
        <v>72</v>
      </c>
      <c r="B711" s="1" t="s">
        <v>7193</v>
      </c>
      <c r="C711" s="1" t="s">
        <v>74</v>
      </c>
      <c r="D711" s="1" t="s">
        <v>74</v>
      </c>
      <c r="E711" s="1" t="s">
        <v>74</v>
      </c>
      <c r="F711" s="1" t="s">
        <v>7194</v>
      </c>
      <c r="G711" s="1" t="s">
        <v>74</v>
      </c>
      <c r="H711" s="1" t="s">
        <v>74</v>
      </c>
      <c r="I711" s="1" t="s">
        <v>7195</v>
      </c>
      <c r="J711" s="1" t="s">
        <v>7196</v>
      </c>
      <c r="K711" s="1" t="s">
        <v>74</v>
      </c>
      <c r="L711" s="1" t="s">
        <v>74</v>
      </c>
      <c r="M711" s="1" t="s">
        <v>74</v>
      </c>
      <c r="N711" s="1" t="s">
        <v>74</v>
      </c>
      <c r="O711" s="1" t="s">
        <v>74</v>
      </c>
      <c r="P711" s="1" t="s">
        <v>74</v>
      </c>
      <c r="Q711" s="1" t="s">
        <v>74</v>
      </c>
      <c r="R711" s="1" t="s">
        <v>74</v>
      </c>
      <c r="S711" s="1" t="s">
        <v>74</v>
      </c>
      <c r="T711" s="1" t="s">
        <v>74</v>
      </c>
      <c r="U711" s="1" t="s">
        <v>74</v>
      </c>
      <c r="V711" s="1" t="s">
        <v>7197</v>
      </c>
      <c r="W711" s="1" t="s">
        <v>74</v>
      </c>
      <c r="X711" s="1" t="s">
        <v>74</v>
      </c>
      <c r="Y711" s="1" t="s">
        <v>74</v>
      </c>
      <c r="Z711" s="1" t="s">
        <v>74</v>
      </c>
      <c r="AA711" s="1" t="s">
        <v>7198</v>
      </c>
      <c r="AB711" s="1" t="s">
        <v>7199</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7200</v>
      </c>
      <c r="AP711" s="1" t="s">
        <v>7201</v>
      </c>
      <c r="AQ711" s="1" t="s">
        <v>74</v>
      </c>
      <c r="AR711" s="1" t="s">
        <v>74</v>
      </c>
      <c r="AS711" s="1" t="s">
        <v>74</v>
      </c>
      <c r="AT711" s="1" t="s">
        <v>4580</v>
      </c>
      <c r="AU711" s="1">
        <v>2021.0</v>
      </c>
      <c r="AV711" s="1">
        <v>12.0</v>
      </c>
      <c r="AW711" s="1">
        <v>1.0</v>
      </c>
      <c r="AX711" s="1" t="s">
        <v>74</v>
      </c>
      <c r="AY711" s="1" t="s">
        <v>74</v>
      </c>
      <c r="AZ711" s="1" t="s">
        <v>74</v>
      </c>
      <c r="BA711" s="1" t="s">
        <v>74</v>
      </c>
      <c r="BB711" s="1" t="s">
        <v>74</v>
      </c>
      <c r="BC711" s="1" t="s">
        <v>74</v>
      </c>
      <c r="BD711" s="1">
        <v>1874600.0</v>
      </c>
      <c r="BE711" s="1" t="s">
        <v>7202</v>
      </c>
      <c r="BF711" s="2" t="str">
        <f>HYPERLINK("http://dx.doi.org/10.1080/20008198.2021.1874600","http://dx.doi.org/10.1080/20008198.2021.1874600")</f>
        <v>http://dx.doi.org/10.1080/20008198.2021.1874600</v>
      </c>
      <c r="BG711" s="1" t="s">
        <v>74</v>
      </c>
      <c r="BH711" s="1" t="s">
        <v>74</v>
      </c>
      <c r="BI711" s="1" t="s">
        <v>74</v>
      </c>
      <c r="BJ711" s="1" t="s">
        <v>74</v>
      </c>
      <c r="BK711" s="1" t="s">
        <v>74</v>
      </c>
      <c r="BL711" s="1" t="s">
        <v>74</v>
      </c>
      <c r="BM711" s="1" t="s">
        <v>74</v>
      </c>
      <c r="BN711" s="1">
        <v>3.4025917E7</v>
      </c>
      <c r="BO711" s="1" t="s">
        <v>74</v>
      </c>
      <c r="BP711" s="1" t="s">
        <v>74</v>
      </c>
      <c r="BQ711" s="1" t="s">
        <v>74</v>
      </c>
      <c r="BR711" s="1" t="s">
        <v>74</v>
      </c>
      <c r="BS711" s="1" t="s">
        <v>7203</v>
      </c>
      <c r="BT711" s="1" t="str">
        <f>HYPERLINK("https%3A%2F%2Fwww.webofscience.com%2Fwos%2Fwoscc%2Ffull-record%2FWOS:000620632900001","View Full Record in Web of Science")</f>
        <v>View Full Record in Web of Science</v>
      </c>
    </row>
    <row r="712" ht="12.75" customHeight="1">
      <c r="A712" s="1" t="s">
        <v>72</v>
      </c>
      <c r="B712" s="1" t="s">
        <v>7204</v>
      </c>
      <c r="C712" s="1" t="s">
        <v>74</v>
      </c>
      <c r="D712" s="1" t="s">
        <v>74</v>
      </c>
      <c r="E712" s="1" t="s">
        <v>74</v>
      </c>
      <c r="F712" s="1" t="s">
        <v>7205</v>
      </c>
      <c r="G712" s="1" t="s">
        <v>74</v>
      </c>
      <c r="H712" s="1" t="s">
        <v>74</v>
      </c>
      <c r="I712" s="1" t="s">
        <v>7206</v>
      </c>
      <c r="J712" s="1" t="s">
        <v>259</v>
      </c>
      <c r="K712" s="1" t="s">
        <v>74</v>
      </c>
      <c r="L712" s="1" t="s">
        <v>74</v>
      </c>
      <c r="M712" s="1" t="s">
        <v>74</v>
      </c>
      <c r="N712" s="1" t="s">
        <v>74</v>
      </c>
      <c r="O712" s="1" t="s">
        <v>74</v>
      </c>
      <c r="P712" s="1" t="s">
        <v>74</v>
      </c>
      <c r="Q712" s="1" t="s">
        <v>74</v>
      </c>
      <c r="R712" s="1" t="s">
        <v>74</v>
      </c>
      <c r="S712" s="1" t="s">
        <v>74</v>
      </c>
      <c r="T712" s="1" t="s">
        <v>74</v>
      </c>
      <c r="U712" s="1" t="s">
        <v>74</v>
      </c>
      <c r="V712" s="1" t="s">
        <v>7207</v>
      </c>
      <c r="W712" s="1" t="s">
        <v>74</v>
      </c>
      <c r="X712" s="1" t="s">
        <v>74</v>
      </c>
      <c r="Y712" s="1" t="s">
        <v>74</v>
      </c>
      <c r="Z712" s="1" t="s">
        <v>74</v>
      </c>
      <c r="AA712" s="1" t="s">
        <v>7208</v>
      </c>
      <c r="AB712" s="1" t="s">
        <v>74</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74</v>
      </c>
      <c r="AP712" s="1" t="s">
        <v>263</v>
      </c>
      <c r="AQ712" s="1" t="s">
        <v>74</v>
      </c>
      <c r="AR712" s="1" t="s">
        <v>74</v>
      </c>
      <c r="AS712" s="1" t="s">
        <v>74</v>
      </c>
      <c r="AT712" s="1" t="s">
        <v>5262</v>
      </c>
      <c r="AU712" s="1">
        <v>2025.0</v>
      </c>
      <c r="AV712" s="1">
        <v>17.0</v>
      </c>
      <c r="AW712" s="1">
        <v>7.0</v>
      </c>
      <c r="AX712" s="1" t="s">
        <v>74</v>
      </c>
      <c r="AY712" s="1" t="s">
        <v>74</v>
      </c>
      <c r="AZ712" s="1" t="s">
        <v>74</v>
      </c>
      <c r="BA712" s="1" t="s">
        <v>74</v>
      </c>
      <c r="BB712" s="1" t="s">
        <v>74</v>
      </c>
      <c r="BC712" s="1" t="s">
        <v>74</v>
      </c>
      <c r="BD712" s="1">
        <v>1202.0</v>
      </c>
      <c r="BE712" s="1" t="s">
        <v>7209</v>
      </c>
      <c r="BF712" s="2" t="str">
        <f>HYPERLINK("http://dx.doi.org/10.3390/nu17071202","http://dx.doi.org/10.3390/nu17071202")</f>
        <v>http://dx.doi.org/10.3390/nu17071202</v>
      </c>
      <c r="BG712" s="1" t="s">
        <v>74</v>
      </c>
      <c r="BH712" s="1" t="s">
        <v>74</v>
      </c>
      <c r="BI712" s="1" t="s">
        <v>74</v>
      </c>
      <c r="BJ712" s="1" t="s">
        <v>74</v>
      </c>
      <c r="BK712" s="1" t="s">
        <v>74</v>
      </c>
      <c r="BL712" s="1" t="s">
        <v>74</v>
      </c>
      <c r="BM712" s="1" t="s">
        <v>74</v>
      </c>
      <c r="BN712" s="1">
        <v>4.0218961E7</v>
      </c>
      <c r="BO712" s="1" t="s">
        <v>74</v>
      </c>
      <c r="BP712" s="1" t="s">
        <v>74</v>
      </c>
      <c r="BQ712" s="1" t="s">
        <v>74</v>
      </c>
      <c r="BR712" s="1" t="s">
        <v>74</v>
      </c>
      <c r="BS712" s="1" t="s">
        <v>7210</v>
      </c>
      <c r="BT712" s="1" t="str">
        <f>HYPERLINK("https%3A%2F%2Fwww.webofscience.com%2Fwos%2Fwoscc%2Ffull-record%2FWOS:001464871000001","View Full Record in Web of Science")</f>
        <v>View Full Record in Web of Science</v>
      </c>
    </row>
    <row r="713" ht="12.75" customHeight="1">
      <c r="A713" s="1" t="s">
        <v>72</v>
      </c>
      <c r="B713" s="1" t="s">
        <v>7211</v>
      </c>
      <c r="C713" s="1" t="s">
        <v>74</v>
      </c>
      <c r="D713" s="1" t="s">
        <v>74</v>
      </c>
      <c r="E713" s="1" t="s">
        <v>74</v>
      </c>
      <c r="F713" s="1" t="s">
        <v>7212</v>
      </c>
      <c r="G713" s="1" t="s">
        <v>74</v>
      </c>
      <c r="H713" s="1" t="s">
        <v>74</v>
      </c>
      <c r="I713" s="1" t="s">
        <v>7213</v>
      </c>
      <c r="J713" s="1" t="s">
        <v>7214</v>
      </c>
      <c r="K713" s="1" t="s">
        <v>74</v>
      </c>
      <c r="L713" s="1" t="s">
        <v>74</v>
      </c>
      <c r="M713" s="1" t="s">
        <v>74</v>
      </c>
      <c r="N713" s="1" t="s">
        <v>74</v>
      </c>
      <c r="O713" s="1" t="s">
        <v>74</v>
      </c>
      <c r="P713" s="1" t="s">
        <v>74</v>
      </c>
      <c r="Q713" s="1" t="s">
        <v>74</v>
      </c>
      <c r="R713" s="1" t="s">
        <v>74</v>
      </c>
      <c r="S713" s="1" t="s">
        <v>74</v>
      </c>
      <c r="T713" s="1" t="s">
        <v>74</v>
      </c>
      <c r="U713" s="1" t="s">
        <v>74</v>
      </c>
      <c r="V713" s="1" t="s">
        <v>7215</v>
      </c>
      <c r="W713" s="1" t="s">
        <v>74</v>
      </c>
      <c r="X713" s="1" t="s">
        <v>74</v>
      </c>
      <c r="Y713" s="1" t="s">
        <v>74</v>
      </c>
      <c r="Z713" s="1" t="s">
        <v>74</v>
      </c>
      <c r="AA713" s="1" t="s">
        <v>7216</v>
      </c>
      <c r="AB713" s="1" t="s">
        <v>7217</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7218</v>
      </c>
      <c r="AP713" s="1" t="s">
        <v>7219</v>
      </c>
      <c r="AQ713" s="1" t="s">
        <v>74</v>
      </c>
      <c r="AR713" s="1" t="s">
        <v>74</v>
      </c>
      <c r="AS713" s="1" t="s">
        <v>74</v>
      </c>
      <c r="AT713" s="1" t="s">
        <v>74</v>
      </c>
      <c r="AU713" s="1">
        <v>2024.0</v>
      </c>
      <c r="AV713" s="1">
        <v>32.0</v>
      </c>
      <c r="AW713" s="1" t="s">
        <v>7220</v>
      </c>
      <c r="AX713" s="1" t="s">
        <v>74</v>
      </c>
      <c r="AY713" s="1" t="s">
        <v>74</v>
      </c>
      <c r="AZ713" s="1" t="s">
        <v>74</v>
      </c>
      <c r="BA713" s="1" t="s">
        <v>74</v>
      </c>
      <c r="BB713" s="1" t="s">
        <v>74</v>
      </c>
      <c r="BC713" s="1" t="s">
        <v>74</v>
      </c>
      <c r="BD713" s="1" t="s">
        <v>74</v>
      </c>
      <c r="BE713" s="1" t="s">
        <v>7221</v>
      </c>
      <c r="BF713" s="2" t="str">
        <f>HYPERLINK("http://dx.doi.org/10.1142/S0218348X24400371","http://dx.doi.org/10.1142/S0218348X24400371")</f>
        <v>http://dx.doi.org/10.1142/S0218348X24400371</v>
      </c>
      <c r="BG713" s="1" t="s">
        <v>74</v>
      </c>
      <c r="BH713" s="1" t="s">
        <v>689</v>
      </c>
      <c r="BI713" s="1" t="s">
        <v>74</v>
      </c>
      <c r="BJ713" s="1" t="s">
        <v>74</v>
      </c>
      <c r="BK713" s="1" t="s">
        <v>74</v>
      </c>
      <c r="BL713" s="1" t="s">
        <v>74</v>
      </c>
      <c r="BM713" s="1" t="s">
        <v>74</v>
      </c>
      <c r="BN713" s="1" t="s">
        <v>74</v>
      </c>
      <c r="BO713" s="1" t="s">
        <v>74</v>
      </c>
      <c r="BP713" s="1" t="s">
        <v>74</v>
      </c>
      <c r="BQ713" s="1" t="s">
        <v>74</v>
      </c>
      <c r="BR713" s="1" t="s">
        <v>74</v>
      </c>
      <c r="BS713" s="1" t="s">
        <v>7222</v>
      </c>
      <c r="BT713" s="1" t="str">
        <f>HYPERLINK("https%3A%2F%2Fwww.webofscience.com%2Fwos%2Fwoscc%2Ffull-record%2FWOS:001261268500002","View Full Record in Web of Science")</f>
        <v>View Full Record in Web of Science</v>
      </c>
    </row>
    <row r="714" ht="12.75" customHeight="1">
      <c r="A714" s="1" t="s">
        <v>72</v>
      </c>
      <c r="B714" s="1" t="s">
        <v>7223</v>
      </c>
      <c r="C714" s="1" t="s">
        <v>74</v>
      </c>
      <c r="D714" s="1" t="s">
        <v>74</v>
      </c>
      <c r="E714" s="1" t="s">
        <v>74</v>
      </c>
      <c r="F714" s="1" t="s">
        <v>7224</v>
      </c>
      <c r="G714" s="1" t="s">
        <v>74</v>
      </c>
      <c r="H714" s="1" t="s">
        <v>74</v>
      </c>
      <c r="I714" s="1" t="s">
        <v>7225</v>
      </c>
      <c r="J714" s="1" t="s">
        <v>480</v>
      </c>
      <c r="K714" s="1" t="s">
        <v>74</v>
      </c>
      <c r="L714" s="1" t="s">
        <v>74</v>
      </c>
      <c r="M714" s="1" t="s">
        <v>74</v>
      </c>
      <c r="N714" s="1" t="s">
        <v>74</v>
      </c>
      <c r="O714" s="1" t="s">
        <v>74</v>
      </c>
      <c r="P714" s="1" t="s">
        <v>74</v>
      </c>
      <c r="Q714" s="1" t="s">
        <v>74</v>
      </c>
      <c r="R714" s="1" t="s">
        <v>74</v>
      </c>
      <c r="S714" s="1" t="s">
        <v>74</v>
      </c>
      <c r="T714" s="1" t="s">
        <v>74</v>
      </c>
      <c r="U714" s="1" t="s">
        <v>74</v>
      </c>
      <c r="V714" s="1" t="s">
        <v>7226</v>
      </c>
      <c r="W714" s="1" t="s">
        <v>74</v>
      </c>
      <c r="X714" s="1" t="s">
        <v>74</v>
      </c>
      <c r="Y714" s="1" t="s">
        <v>74</v>
      </c>
      <c r="Z714" s="1" t="s">
        <v>74</v>
      </c>
      <c r="AA714" s="1" t="s">
        <v>7227</v>
      </c>
      <c r="AB714" s="1" t="s">
        <v>7228</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484</v>
      </c>
      <c r="AP714" s="1" t="s">
        <v>74</v>
      </c>
      <c r="AQ714" s="1" t="s">
        <v>74</v>
      </c>
      <c r="AR714" s="1" t="s">
        <v>74</v>
      </c>
      <c r="AS714" s="1" t="s">
        <v>74</v>
      </c>
      <c r="AT714" s="1" t="s">
        <v>3438</v>
      </c>
      <c r="AU714" s="1">
        <v>2023.0</v>
      </c>
      <c r="AV714" s="1">
        <v>13.0</v>
      </c>
      <c r="AW714" s="1">
        <v>1.0</v>
      </c>
      <c r="AX714" s="1" t="s">
        <v>74</v>
      </c>
      <c r="AY714" s="1" t="s">
        <v>74</v>
      </c>
      <c r="AZ714" s="1" t="s">
        <v>74</v>
      </c>
      <c r="BA714" s="1" t="s">
        <v>74</v>
      </c>
      <c r="BB714" s="1" t="s">
        <v>74</v>
      </c>
      <c r="BC714" s="1" t="s">
        <v>74</v>
      </c>
      <c r="BD714" s="1">
        <v>9236.0</v>
      </c>
      <c r="BE714" s="1" t="s">
        <v>7229</v>
      </c>
      <c r="BF714" s="2" t="str">
        <f>HYPERLINK("http://dx.doi.org/10.1038/s41598-023-36422-8","http://dx.doi.org/10.1038/s41598-023-36422-8")</f>
        <v>http://dx.doi.org/10.1038/s41598-023-36422-8</v>
      </c>
      <c r="BG714" s="1" t="s">
        <v>74</v>
      </c>
      <c r="BH714" s="1" t="s">
        <v>74</v>
      </c>
      <c r="BI714" s="1" t="s">
        <v>74</v>
      </c>
      <c r="BJ714" s="1" t="s">
        <v>74</v>
      </c>
      <c r="BK714" s="1" t="s">
        <v>74</v>
      </c>
      <c r="BL714" s="1" t="s">
        <v>74</v>
      </c>
      <c r="BM714" s="1" t="s">
        <v>74</v>
      </c>
      <c r="BN714" s="1">
        <v>3.7286727E7</v>
      </c>
      <c r="BO714" s="1" t="s">
        <v>74</v>
      </c>
      <c r="BP714" s="1" t="s">
        <v>74</v>
      </c>
      <c r="BQ714" s="1" t="s">
        <v>74</v>
      </c>
      <c r="BR714" s="1" t="s">
        <v>74</v>
      </c>
      <c r="BS714" s="1" t="s">
        <v>7230</v>
      </c>
      <c r="BT714" s="1" t="str">
        <f>HYPERLINK("https%3A%2F%2Fwww.webofscience.com%2Fwos%2Fwoscc%2Ffull-record%2FWOS:001009117000044","View Full Record in Web of Science")</f>
        <v>View Full Record in Web of Science</v>
      </c>
    </row>
    <row r="715" ht="12.75" customHeight="1">
      <c r="A715" s="1" t="s">
        <v>72</v>
      </c>
      <c r="B715" s="1" t="s">
        <v>7231</v>
      </c>
      <c r="C715" s="1" t="s">
        <v>74</v>
      </c>
      <c r="D715" s="1" t="s">
        <v>74</v>
      </c>
      <c r="E715" s="1" t="s">
        <v>74</v>
      </c>
      <c r="F715" s="1" t="s">
        <v>7232</v>
      </c>
      <c r="G715" s="1" t="s">
        <v>74</v>
      </c>
      <c r="H715" s="1" t="s">
        <v>74</v>
      </c>
      <c r="I715" s="1" t="s">
        <v>7233</v>
      </c>
      <c r="J715" s="1" t="s">
        <v>88</v>
      </c>
      <c r="K715" s="1" t="s">
        <v>74</v>
      </c>
      <c r="L715" s="1" t="s">
        <v>74</v>
      </c>
      <c r="M715" s="1" t="s">
        <v>74</v>
      </c>
      <c r="N715" s="1" t="s">
        <v>74</v>
      </c>
      <c r="O715" s="1" t="s">
        <v>74</v>
      </c>
      <c r="P715" s="1" t="s">
        <v>74</v>
      </c>
      <c r="Q715" s="1" t="s">
        <v>74</v>
      </c>
      <c r="R715" s="1" t="s">
        <v>74</v>
      </c>
      <c r="S715" s="1" t="s">
        <v>74</v>
      </c>
      <c r="T715" s="1" t="s">
        <v>74</v>
      </c>
      <c r="U715" s="1" t="s">
        <v>74</v>
      </c>
      <c r="V715" s="1" t="s">
        <v>7234</v>
      </c>
      <c r="W715" s="1" t="s">
        <v>74</v>
      </c>
      <c r="X715" s="1" t="s">
        <v>74</v>
      </c>
      <c r="Y715" s="1" t="s">
        <v>74</v>
      </c>
      <c r="Z715" s="1" t="s">
        <v>74</v>
      </c>
      <c r="AA715" s="1" t="s">
        <v>7235</v>
      </c>
      <c r="AB715" s="1" t="s">
        <v>7236</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92</v>
      </c>
      <c r="AP715" s="1" t="s">
        <v>93</v>
      </c>
      <c r="AQ715" s="1" t="s">
        <v>74</v>
      </c>
      <c r="AR715" s="1" t="s">
        <v>74</v>
      </c>
      <c r="AS715" s="1" t="s">
        <v>74</v>
      </c>
      <c r="AT715" s="1" t="s">
        <v>239</v>
      </c>
      <c r="AU715" s="1">
        <v>2020.0</v>
      </c>
      <c r="AV715" s="1">
        <v>9.0</v>
      </c>
      <c r="AW715" s="1">
        <v>3.0</v>
      </c>
      <c r="AX715" s="1" t="s">
        <v>74</v>
      </c>
      <c r="AY715" s="1" t="s">
        <v>74</v>
      </c>
      <c r="AZ715" s="1" t="s">
        <v>74</v>
      </c>
      <c r="BA715" s="1" t="s">
        <v>74</v>
      </c>
      <c r="BB715" s="1">
        <v>283.0</v>
      </c>
      <c r="BC715" s="1">
        <v>290.0</v>
      </c>
      <c r="BD715" s="1" t="s">
        <v>74</v>
      </c>
      <c r="BE715" s="1" t="s">
        <v>7237</v>
      </c>
      <c r="BF715" s="2" t="str">
        <f>HYPERLINK("http://dx.doi.org/10.1016/j.jshs.2018.09.004","http://dx.doi.org/10.1016/j.jshs.2018.09.004")</f>
        <v>http://dx.doi.org/10.1016/j.jshs.2018.09.004</v>
      </c>
      <c r="BG715" s="1" t="s">
        <v>74</v>
      </c>
      <c r="BH715" s="1" t="s">
        <v>74</v>
      </c>
      <c r="BI715" s="1" t="s">
        <v>74</v>
      </c>
      <c r="BJ715" s="1" t="s">
        <v>74</v>
      </c>
      <c r="BK715" s="1" t="s">
        <v>74</v>
      </c>
      <c r="BL715" s="1" t="s">
        <v>74</v>
      </c>
      <c r="BM715" s="1" t="s">
        <v>74</v>
      </c>
      <c r="BN715" s="1">
        <v>3.2444153E7</v>
      </c>
      <c r="BO715" s="1" t="s">
        <v>74</v>
      </c>
      <c r="BP715" s="1" t="s">
        <v>74</v>
      </c>
      <c r="BQ715" s="1" t="s">
        <v>74</v>
      </c>
      <c r="BR715" s="1" t="s">
        <v>74</v>
      </c>
      <c r="BS715" s="1" t="s">
        <v>7238</v>
      </c>
      <c r="BT715" s="1" t="str">
        <f>HYPERLINK("https%3A%2F%2Fwww.webofscience.com%2Fwos%2Fwoscc%2Ffull-record%2FWOS:000535761900011","View Full Record in Web of Science")</f>
        <v>View Full Record in Web of Science</v>
      </c>
    </row>
    <row r="716" ht="12.75" customHeight="1">
      <c r="A716" s="1" t="s">
        <v>72</v>
      </c>
      <c r="B716" s="1" t="s">
        <v>7239</v>
      </c>
      <c r="C716" s="1" t="s">
        <v>74</v>
      </c>
      <c r="D716" s="1" t="s">
        <v>74</v>
      </c>
      <c r="E716" s="1" t="s">
        <v>74</v>
      </c>
      <c r="F716" s="1" t="s">
        <v>7240</v>
      </c>
      <c r="G716" s="1" t="s">
        <v>74</v>
      </c>
      <c r="H716" s="1" t="s">
        <v>74</v>
      </c>
      <c r="I716" s="1" t="s">
        <v>7241</v>
      </c>
      <c r="J716" s="1" t="s">
        <v>7092</v>
      </c>
      <c r="K716" s="1" t="s">
        <v>74</v>
      </c>
      <c r="L716" s="1" t="s">
        <v>74</v>
      </c>
      <c r="M716" s="1" t="s">
        <v>74</v>
      </c>
      <c r="N716" s="1" t="s">
        <v>74</v>
      </c>
      <c r="O716" s="1" t="s">
        <v>74</v>
      </c>
      <c r="P716" s="1" t="s">
        <v>74</v>
      </c>
      <c r="Q716" s="1" t="s">
        <v>74</v>
      </c>
      <c r="R716" s="1" t="s">
        <v>74</v>
      </c>
      <c r="S716" s="1" t="s">
        <v>74</v>
      </c>
      <c r="T716" s="1" t="s">
        <v>74</v>
      </c>
      <c r="U716" s="1" t="s">
        <v>74</v>
      </c>
      <c r="V716" s="1" t="s">
        <v>7242</v>
      </c>
      <c r="W716" s="1" t="s">
        <v>74</v>
      </c>
      <c r="X716" s="1" t="s">
        <v>74</v>
      </c>
      <c r="Y716" s="1" t="s">
        <v>74</v>
      </c>
      <c r="Z716" s="1" t="s">
        <v>74</v>
      </c>
      <c r="AA716" s="1" t="s">
        <v>7243</v>
      </c>
      <c r="AB716" s="1" t="s">
        <v>7244</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7096</v>
      </c>
      <c r="AP716" s="1" t="s">
        <v>7097</v>
      </c>
      <c r="AQ716" s="1" t="s">
        <v>74</v>
      </c>
      <c r="AR716" s="1" t="s">
        <v>74</v>
      </c>
      <c r="AS716" s="1" t="s">
        <v>74</v>
      </c>
      <c r="AT716" s="1" t="s">
        <v>745</v>
      </c>
      <c r="AU716" s="1">
        <v>2019.0</v>
      </c>
      <c r="AV716" s="1">
        <v>158.0</v>
      </c>
      <c r="AW716" s="1">
        <v>1.0</v>
      </c>
      <c r="AX716" s="1" t="s">
        <v>74</v>
      </c>
      <c r="AY716" s="1" t="s">
        <v>74</v>
      </c>
      <c r="AZ716" s="1" t="s">
        <v>74</v>
      </c>
      <c r="BA716" s="1" t="s">
        <v>74</v>
      </c>
      <c r="BB716" s="1" t="s">
        <v>74</v>
      </c>
      <c r="BC716" s="1" t="s">
        <v>74</v>
      </c>
      <c r="BD716" s="1">
        <v>15.0</v>
      </c>
      <c r="BE716" s="1" t="s">
        <v>7245</v>
      </c>
      <c r="BF716" s="2" t="str">
        <f>HYPERLINK("http://dx.doi.org/10.3847/1538-3881/ab1f88","http://dx.doi.org/10.3847/1538-3881/ab1f88")</f>
        <v>http://dx.doi.org/10.3847/1538-3881/ab1f88</v>
      </c>
      <c r="BG716" s="1" t="s">
        <v>74</v>
      </c>
      <c r="BH716" s="1" t="s">
        <v>74</v>
      </c>
      <c r="BI716" s="1" t="s">
        <v>74</v>
      </c>
      <c r="BJ716" s="1" t="s">
        <v>74</v>
      </c>
      <c r="BK716" s="1" t="s">
        <v>74</v>
      </c>
      <c r="BL716" s="1" t="s">
        <v>74</v>
      </c>
      <c r="BM716" s="1" t="s">
        <v>74</v>
      </c>
      <c r="BN716" s="1" t="s">
        <v>74</v>
      </c>
      <c r="BO716" s="1" t="s">
        <v>74</v>
      </c>
      <c r="BP716" s="1" t="s">
        <v>74</v>
      </c>
      <c r="BQ716" s="1" t="s">
        <v>74</v>
      </c>
      <c r="BR716" s="1" t="s">
        <v>74</v>
      </c>
      <c r="BS716" s="1" t="s">
        <v>7246</v>
      </c>
      <c r="BT716" s="1" t="str">
        <f>HYPERLINK("https%3A%2F%2Fwww.webofscience.com%2Fwos%2Fwoscc%2Ffull-record%2FWOS:000471731300001","View Full Record in Web of Science")</f>
        <v>View Full Record in Web of Science</v>
      </c>
    </row>
    <row r="717" ht="12.75" customHeight="1">
      <c r="A717" s="1" t="s">
        <v>72</v>
      </c>
      <c r="B717" s="1" t="s">
        <v>7247</v>
      </c>
      <c r="C717" s="1" t="s">
        <v>74</v>
      </c>
      <c r="D717" s="1" t="s">
        <v>74</v>
      </c>
      <c r="E717" s="1" t="s">
        <v>74</v>
      </c>
      <c r="F717" s="1" t="s">
        <v>7248</v>
      </c>
      <c r="G717" s="1" t="s">
        <v>74</v>
      </c>
      <c r="H717" s="1" t="s">
        <v>74</v>
      </c>
      <c r="I717" s="1" t="s">
        <v>7249</v>
      </c>
      <c r="J717" s="1" t="s">
        <v>7250</v>
      </c>
      <c r="K717" s="1" t="s">
        <v>74</v>
      </c>
      <c r="L717" s="1" t="s">
        <v>74</v>
      </c>
      <c r="M717" s="1" t="s">
        <v>74</v>
      </c>
      <c r="N717" s="1" t="s">
        <v>74</v>
      </c>
      <c r="O717" s="1" t="s">
        <v>74</v>
      </c>
      <c r="P717" s="1" t="s">
        <v>74</v>
      </c>
      <c r="Q717" s="1" t="s">
        <v>74</v>
      </c>
      <c r="R717" s="1" t="s">
        <v>74</v>
      </c>
      <c r="S717" s="1" t="s">
        <v>74</v>
      </c>
      <c r="T717" s="1" t="s">
        <v>74</v>
      </c>
      <c r="U717" s="1" t="s">
        <v>74</v>
      </c>
      <c r="V717" s="1" t="s">
        <v>7251</v>
      </c>
      <c r="W717" s="1" t="s">
        <v>74</v>
      </c>
      <c r="X717" s="1" t="s">
        <v>74</v>
      </c>
      <c r="Y717" s="1" t="s">
        <v>74</v>
      </c>
      <c r="Z717" s="1" t="s">
        <v>74</v>
      </c>
      <c r="AA717" s="1" t="s">
        <v>7252</v>
      </c>
      <c r="AB717" s="1" t="s">
        <v>7253</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7254</v>
      </c>
      <c r="AP717" s="1" t="s">
        <v>7255</v>
      </c>
      <c r="AQ717" s="1" t="s">
        <v>74</v>
      </c>
      <c r="AR717" s="1" t="s">
        <v>74</v>
      </c>
      <c r="AS717" s="1" t="s">
        <v>74</v>
      </c>
      <c r="AT717" s="1" t="s">
        <v>5404</v>
      </c>
      <c r="AU717" s="1">
        <v>2025.0</v>
      </c>
      <c r="AV717" s="1">
        <v>471.0</v>
      </c>
      <c r="AW717" s="1" t="s">
        <v>74</v>
      </c>
      <c r="AX717" s="1" t="s">
        <v>74</v>
      </c>
      <c r="AY717" s="1" t="s">
        <v>74</v>
      </c>
      <c r="AZ717" s="1" t="s">
        <v>74</v>
      </c>
      <c r="BA717" s="1" t="s">
        <v>74</v>
      </c>
      <c r="BB717" s="1" t="s">
        <v>74</v>
      </c>
      <c r="BC717" s="1" t="s">
        <v>74</v>
      </c>
      <c r="BD717" s="1">
        <v>109564.0</v>
      </c>
      <c r="BE717" s="1" t="s">
        <v>7256</v>
      </c>
      <c r="BF717" s="2" t="str">
        <f>HYPERLINK("http://dx.doi.org/10.1016/j.geomorph.2024.109564","http://dx.doi.org/10.1016/j.geomorph.2024.109564")</f>
        <v>http://dx.doi.org/10.1016/j.geomorph.2024.109564</v>
      </c>
      <c r="BG717" s="1" t="s">
        <v>74</v>
      </c>
      <c r="BH717" s="1" t="s">
        <v>228</v>
      </c>
      <c r="BI717" s="1" t="s">
        <v>74</v>
      </c>
      <c r="BJ717" s="1" t="s">
        <v>74</v>
      </c>
      <c r="BK717" s="1" t="s">
        <v>74</v>
      </c>
      <c r="BL717" s="1" t="s">
        <v>74</v>
      </c>
      <c r="BM717" s="1" t="s">
        <v>74</v>
      </c>
      <c r="BN717" s="1" t="s">
        <v>74</v>
      </c>
      <c r="BO717" s="1" t="s">
        <v>74</v>
      </c>
      <c r="BP717" s="1" t="s">
        <v>74</v>
      </c>
      <c r="BQ717" s="1" t="s">
        <v>74</v>
      </c>
      <c r="BR717" s="1" t="s">
        <v>74</v>
      </c>
      <c r="BS717" s="1" t="s">
        <v>7257</v>
      </c>
      <c r="BT717" s="1" t="str">
        <f>HYPERLINK("https%3A%2F%2Fwww.webofscience.com%2Fwos%2Fwoscc%2Ffull-record%2FWOS:001389191900001","View Full Record in Web of Science")</f>
        <v>View Full Record in Web of Science</v>
      </c>
    </row>
    <row r="718" ht="12.75" customHeight="1">
      <c r="A718" s="1" t="s">
        <v>72</v>
      </c>
      <c r="B718" s="1" t="s">
        <v>7258</v>
      </c>
      <c r="C718" s="1" t="s">
        <v>74</v>
      </c>
      <c r="D718" s="1" t="s">
        <v>74</v>
      </c>
      <c r="E718" s="1" t="s">
        <v>74</v>
      </c>
      <c r="F718" s="1" t="s">
        <v>7259</v>
      </c>
      <c r="G718" s="1" t="s">
        <v>74</v>
      </c>
      <c r="H718" s="1" t="s">
        <v>74</v>
      </c>
      <c r="I718" s="1" t="s">
        <v>7260</v>
      </c>
      <c r="J718" s="1" t="s">
        <v>101</v>
      </c>
      <c r="K718" s="1" t="s">
        <v>74</v>
      </c>
      <c r="L718" s="1" t="s">
        <v>74</v>
      </c>
      <c r="M718" s="1" t="s">
        <v>74</v>
      </c>
      <c r="N718" s="1" t="s">
        <v>74</v>
      </c>
      <c r="O718" s="1" t="s">
        <v>74</v>
      </c>
      <c r="P718" s="1" t="s">
        <v>74</v>
      </c>
      <c r="Q718" s="1" t="s">
        <v>74</v>
      </c>
      <c r="R718" s="1" t="s">
        <v>74</v>
      </c>
      <c r="S718" s="1" t="s">
        <v>74</v>
      </c>
      <c r="T718" s="1" t="s">
        <v>74</v>
      </c>
      <c r="U718" s="1" t="s">
        <v>74</v>
      </c>
      <c r="V718" s="1" t="s">
        <v>7261</v>
      </c>
      <c r="W718" s="1" t="s">
        <v>74</v>
      </c>
      <c r="X718" s="1" t="s">
        <v>74</v>
      </c>
      <c r="Y718" s="1" t="s">
        <v>74</v>
      </c>
      <c r="Z718" s="1" t="s">
        <v>74</v>
      </c>
      <c r="AA718" s="1" t="s">
        <v>7262</v>
      </c>
      <c r="AB718" s="1" t="s">
        <v>7263</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74</v>
      </c>
      <c r="AP718" s="1" t="s">
        <v>105</v>
      </c>
      <c r="AQ718" s="1" t="s">
        <v>74</v>
      </c>
      <c r="AR718" s="1" t="s">
        <v>74</v>
      </c>
      <c r="AS718" s="1" t="s">
        <v>74</v>
      </c>
      <c r="AT718" s="1" t="s">
        <v>141</v>
      </c>
      <c r="AU718" s="1">
        <v>2013.0</v>
      </c>
      <c r="AV718" s="1">
        <v>18.0</v>
      </c>
      <c r="AW718" s="1">
        <v>9.0</v>
      </c>
      <c r="AX718" s="1" t="s">
        <v>74</v>
      </c>
      <c r="AY718" s="1" t="s">
        <v>74</v>
      </c>
      <c r="AZ718" s="1" t="s">
        <v>74</v>
      </c>
      <c r="BA718" s="1" t="s">
        <v>74</v>
      </c>
      <c r="BB718" s="1">
        <v>11264.0</v>
      </c>
      <c r="BC718" s="1">
        <v>11280.0</v>
      </c>
      <c r="BD718" s="1" t="s">
        <v>74</v>
      </c>
      <c r="BE718" s="1" t="s">
        <v>7264</v>
      </c>
      <c r="BF718" s="2" t="str">
        <f>HYPERLINK("http://dx.doi.org/10.3390/molecules180911264","http://dx.doi.org/10.3390/molecules180911264")</f>
        <v>http://dx.doi.org/10.3390/molecules180911264</v>
      </c>
      <c r="BG718" s="1" t="s">
        <v>74</v>
      </c>
      <c r="BH718" s="1" t="s">
        <v>74</v>
      </c>
      <c r="BI718" s="1" t="s">
        <v>74</v>
      </c>
      <c r="BJ718" s="1" t="s">
        <v>74</v>
      </c>
      <c r="BK718" s="1" t="s">
        <v>74</v>
      </c>
      <c r="BL718" s="1" t="s">
        <v>74</v>
      </c>
      <c r="BM718" s="1" t="s">
        <v>74</v>
      </c>
      <c r="BN718" s="1">
        <v>2.4036515E7</v>
      </c>
      <c r="BO718" s="1" t="s">
        <v>74</v>
      </c>
      <c r="BP718" s="1" t="s">
        <v>74</v>
      </c>
      <c r="BQ718" s="1" t="s">
        <v>74</v>
      </c>
      <c r="BR718" s="1" t="s">
        <v>74</v>
      </c>
      <c r="BS718" s="1" t="s">
        <v>7265</v>
      </c>
      <c r="BT718" s="1" t="str">
        <f>HYPERLINK("https%3A%2F%2Fwww.webofscience.com%2Fwos%2Fwoscc%2Ffull-record%2FWOS:000330306600075","View Full Record in Web of Science")</f>
        <v>View Full Record in Web of Science</v>
      </c>
    </row>
    <row r="719" ht="12.75" customHeight="1">
      <c r="A719" s="1" t="s">
        <v>72</v>
      </c>
      <c r="B719" s="1" t="s">
        <v>7266</v>
      </c>
      <c r="C719" s="1" t="s">
        <v>74</v>
      </c>
      <c r="D719" s="1" t="s">
        <v>74</v>
      </c>
      <c r="E719" s="1" t="s">
        <v>74</v>
      </c>
      <c r="F719" s="1" t="s">
        <v>7267</v>
      </c>
      <c r="G719" s="1" t="s">
        <v>74</v>
      </c>
      <c r="H719" s="1" t="s">
        <v>74</v>
      </c>
      <c r="I719" s="1" t="s">
        <v>7268</v>
      </c>
      <c r="J719" s="1" t="s">
        <v>7269</v>
      </c>
      <c r="K719" s="1" t="s">
        <v>74</v>
      </c>
      <c r="L719" s="1" t="s">
        <v>74</v>
      </c>
      <c r="M719" s="1" t="s">
        <v>74</v>
      </c>
      <c r="N719" s="1" t="s">
        <v>74</v>
      </c>
      <c r="O719" s="1" t="s">
        <v>74</v>
      </c>
      <c r="P719" s="1" t="s">
        <v>74</v>
      </c>
      <c r="Q719" s="1" t="s">
        <v>74</v>
      </c>
      <c r="R719" s="1" t="s">
        <v>74</v>
      </c>
      <c r="S719" s="1" t="s">
        <v>74</v>
      </c>
      <c r="T719" s="1" t="s">
        <v>74</v>
      </c>
      <c r="U719" s="1" t="s">
        <v>74</v>
      </c>
      <c r="V719" s="1" t="s">
        <v>74</v>
      </c>
      <c r="W719" s="1" t="s">
        <v>74</v>
      </c>
      <c r="X719" s="1" t="s">
        <v>74</v>
      </c>
      <c r="Y719" s="1" t="s">
        <v>74</v>
      </c>
      <c r="Z719" s="1" t="s">
        <v>74</v>
      </c>
      <c r="AA719" s="1" t="s">
        <v>1717</v>
      </c>
      <c r="AB719" s="1" t="s">
        <v>7270</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7271</v>
      </c>
      <c r="AP719" s="1" t="s">
        <v>74</v>
      </c>
      <c r="AQ719" s="1" t="s">
        <v>74</v>
      </c>
      <c r="AR719" s="1" t="s">
        <v>74</v>
      </c>
      <c r="AS719" s="1" t="s">
        <v>74</v>
      </c>
      <c r="AT719" s="1" t="s">
        <v>7272</v>
      </c>
      <c r="AU719" s="1">
        <v>2023.0</v>
      </c>
      <c r="AV719" s="1">
        <v>17.0</v>
      </c>
      <c r="AW719" s="1" t="s">
        <v>74</v>
      </c>
      <c r="AX719" s="1" t="s">
        <v>74</v>
      </c>
      <c r="AY719" s="1" t="s">
        <v>74</v>
      </c>
      <c r="AZ719" s="1" t="s">
        <v>74</v>
      </c>
      <c r="BA719" s="1" t="s">
        <v>74</v>
      </c>
      <c r="BB719" s="1" t="s">
        <v>74</v>
      </c>
      <c r="BC719" s="1" t="s">
        <v>74</v>
      </c>
      <c r="BD719" s="1">
        <v>1229084.0</v>
      </c>
      <c r="BE719" s="1" t="s">
        <v>7273</v>
      </c>
      <c r="BF719" s="2" t="str">
        <f>HYPERLINK("http://dx.doi.org/10.3389/fnhum.2023.1229084","http://dx.doi.org/10.3389/fnhum.2023.1229084")</f>
        <v>http://dx.doi.org/10.3389/fnhum.2023.1229084</v>
      </c>
      <c r="BG719" s="1" t="s">
        <v>74</v>
      </c>
      <c r="BH719" s="1" t="s">
        <v>74</v>
      </c>
      <c r="BI719" s="1" t="s">
        <v>74</v>
      </c>
      <c r="BJ719" s="1" t="s">
        <v>74</v>
      </c>
      <c r="BK719" s="1" t="s">
        <v>74</v>
      </c>
      <c r="BL719" s="1" t="s">
        <v>74</v>
      </c>
      <c r="BM719" s="1" t="s">
        <v>74</v>
      </c>
      <c r="BN719" s="1">
        <v>3.7383987E7</v>
      </c>
      <c r="BO719" s="1" t="s">
        <v>74</v>
      </c>
      <c r="BP719" s="1" t="s">
        <v>74</v>
      </c>
      <c r="BQ719" s="1" t="s">
        <v>74</v>
      </c>
      <c r="BR719" s="1" t="s">
        <v>74</v>
      </c>
      <c r="BS719" s="1" t="s">
        <v>7274</v>
      </c>
      <c r="BT719" s="1" t="str">
        <f>HYPERLINK("https%3A%2F%2Fwww.webofscience.com%2Fwos%2Fwoscc%2Ffull-record%2FWOS:001033251700001","View Full Record in Web of Science")</f>
        <v>View Full Record in Web of Science</v>
      </c>
    </row>
    <row r="720" ht="12.75" customHeight="1">
      <c r="A720" s="1" t="s">
        <v>72</v>
      </c>
      <c r="B720" s="1" t="s">
        <v>7275</v>
      </c>
      <c r="C720" s="1" t="s">
        <v>74</v>
      </c>
      <c r="D720" s="1" t="s">
        <v>74</v>
      </c>
      <c r="E720" s="1" t="s">
        <v>74</v>
      </c>
      <c r="F720" s="1" t="s">
        <v>7276</v>
      </c>
      <c r="G720" s="1" t="s">
        <v>74</v>
      </c>
      <c r="H720" s="1" t="s">
        <v>74</v>
      </c>
      <c r="I720" s="1" t="s">
        <v>7277</v>
      </c>
      <c r="J720" s="1" t="s">
        <v>3512</v>
      </c>
      <c r="K720" s="1" t="s">
        <v>74</v>
      </c>
      <c r="L720" s="1" t="s">
        <v>74</v>
      </c>
      <c r="M720" s="1" t="s">
        <v>74</v>
      </c>
      <c r="N720" s="1" t="s">
        <v>74</v>
      </c>
      <c r="O720" s="1" t="s">
        <v>74</v>
      </c>
      <c r="P720" s="1" t="s">
        <v>74</v>
      </c>
      <c r="Q720" s="1" t="s">
        <v>74</v>
      </c>
      <c r="R720" s="1" t="s">
        <v>74</v>
      </c>
      <c r="S720" s="1" t="s">
        <v>74</v>
      </c>
      <c r="T720" s="1" t="s">
        <v>74</v>
      </c>
      <c r="U720" s="1" t="s">
        <v>74</v>
      </c>
      <c r="V720" s="1" t="s">
        <v>7278</v>
      </c>
      <c r="W720" s="1" t="s">
        <v>74</v>
      </c>
      <c r="X720" s="1" t="s">
        <v>74</v>
      </c>
      <c r="Y720" s="1" t="s">
        <v>74</v>
      </c>
      <c r="Z720" s="1" t="s">
        <v>74</v>
      </c>
      <c r="AA720" s="1" t="s">
        <v>7279</v>
      </c>
      <c r="AB720" s="1" t="s">
        <v>7280</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74</v>
      </c>
      <c r="AP720" s="1" t="s">
        <v>3516</v>
      </c>
      <c r="AQ720" s="1" t="s">
        <v>74</v>
      </c>
      <c r="AR720" s="1" t="s">
        <v>74</v>
      </c>
      <c r="AS720" s="1" t="s">
        <v>74</v>
      </c>
      <c r="AT720" s="1" t="s">
        <v>141</v>
      </c>
      <c r="AU720" s="1">
        <v>2022.0</v>
      </c>
      <c r="AV720" s="1">
        <v>9.0</v>
      </c>
      <c r="AW720" s="1">
        <v>9.0</v>
      </c>
      <c r="AX720" s="1" t="s">
        <v>74</v>
      </c>
      <c r="AY720" s="1" t="s">
        <v>74</v>
      </c>
      <c r="AZ720" s="1" t="s">
        <v>74</v>
      </c>
      <c r="BA720" s="1" t="s">
        <v>74</v>
      </c>
      <c r="BB720" s="1" t="s">
        <v>74</v>
      </c>
      <c r="BC720" s="1" t="s">
        <v>74</v>
      </c>
      <c r="BD720" s="1">
        <v>1315.0</v>
      </c>
      <c r="BE720" s="1" t="s">
        <v>7281</v>
      </c>
      <c r="BF720" s="2" t="str">
        <f>HYPERLINK("http://dx.doi.org/10.3390/children9091315","http://dx.doi.org/10.3390/children9091315")</f>
        <v>http://dx.doi.org/10.3390/children9091315</v>
      </c>
      <c r="BG720" s="1" t="s">
        <v>74</v>
      </c>
      <c r="BH720" s="1" t="s">
        <v>74</v>
      </c>
      <c r="BI720" s="1" t="s">
        <v>74</v>
      </c>
      <c r="BJ720" s="1" t="s">
        <v>74</v>
      </c>
      <c r="BK720" s="1" t="s">
        <v>74</v>
      </c>
      <c r="BL720" s="1" t="s">
        <v>74</v>
      </c>
      <c r="BM720" s="1" t="s">
        <v>74</v>
      </c>
      <c r="BN720" s="1">
        <v>3.6138624E7</v>
      </c>
      <c r="BO720" s="1" t="s">
        <v>74</v>
      </c>
      <c r="BP720" s="1" t="s">
        <v>74</v>
      </c>
      <c r="BQ720" s="1" t="s">
        <v>74</v>
      </c>
      <c r="BR720" s="1" t="s">
        <v>74</v>
      </c>
      <c r="BS720" s="1" t="s">
        <v>7282</v>
      </c>
      <c r="BT720" s="1" t="str">
        <f>HYPERLINK("https%3A%2F%2Fwww.webofscience.com%2Fwos%2Fwoscc%2Ffull-record%2FWOS:000856316000001","View Full Record in Web of Science")</f>
        <v>View Full Record in Web of Science</v>
      </c>
    </row>
    <row r="721" ht="12.75" customHeight="1">
      <c r="A721" s="1" t="s">
        <v>72</v>
      </c>
      <c r="B721" s="1" t="s">
        <v>7283</v>
      </c>
      <c r="C721" s="1" t="s">
        <v>74</v>
      </c>
      <c r="D721" s="1" t="s">
        <v>74</v>
      </c>
      <c r="E721" s="1" t="s">
        <v>74</v>
      </c>
      <c r="F721" s="1" t="s">
        <v>7284</v>
      </c>
      <c r="G721" s="1" t="s">
        <v>74</v>
      </c>
      <c r="H721" s="1" t="s">
        <v>74</v>
      </c>
      <c r="I721" s="1" t="s">
        <v>7285</v>
      </c>
      <c r="J721" s="1" t="s">
        <v>7286</v>
      </c>
      <c r="K721" s="1" t="s">
        <v>74</v>
      </c>
      <c r="L721" s="1" t="s">
        <v>74</v>
      </c>
      <c r="M721" s="1" t="s">
        <v>74</v>
      </c>
      <c r="N721" s="1" t="s">
        <v>74</v>
      </c>
      <c r="O721" s="1" t="s">
        <v>74</v>
      </c>
      <c r="P721" s="1" t="s">
        <v>74</v>
      </c>
      <c r="Q721" s="1" t="s">
        <v>74</v>
      </c>
      <c r="R721" s="1" t="s">
        <v>74</v>
      </c>
      <c r="S721" s="1" t="s">
        <v>74</v>
      </c>
      <c r="T721" s="1" t="s">
        <v>74</v>
      </c>
      <c r="U721" s="1" t="s">
        <v>74</v>
      </c>
      <c r="V721" s="1" t="s">
        <v>7287</v>
      </c>
      <c r="W721" s="1" t="s">
        <v>74</v>
      </c>
      <c r="X721" s="1" t="s">
        <v>74</v>
      </c>
      <c r="Y721" s="1" t="s">
        <v>74</v>
      </c>
      <c r="Z721" s="1" t="s">
        <v>74</v>
      </c>
      <c r="AA721" s="1" t="s">
        <v>7288</v>
      </c>
      <c r="AB721" s="1" t="s">
        <v>7289</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7290</v>
      </c>
      <c r="AP721" s="1" t="s">
        <v>7291</v>
      </c>
      <c r="AQ721" s="1" t="s">
        <v>74</v>
      </c>
      <c r="AR721" s="1" t="s">
        <v>74</v>
      </c>
      <c r="AS721" s="1" t="s">
        <v>74</v>
      </c>
      <c r="AT721" s="1" t="s">
        <v>745</v>
      </c>
      <c r="AU721" s="1">
        <v>2019.0</v>
      </c>
      <c r="AV721" s="1">
        <v>16.0</v>
      </c>
      <c r="AW721" s="1">
        <v>4.0</v>
      </c>
      <c r="AX721" s="1" t="s">
        <v>74</v>
      </c>
      <c r="AY721" s="1" t="s">
        <v>74</v>
      </c>
      <c r="AZ721" s="1" t="s">
        <v>74</v>
      </c>
      <c r="BA721" s="1" t="s">
        <v>74</v>
      </c>
      <c r="BB721" s="1">
        <v>266.0</v>
      </c>
      <c r="BC721" s="1">
        <v>288.0</v>
      </c>
      <c r="BD721" s="1" t="s">
        <v>74</v>
      </c>
      <c r="BE721" s="1" t="s">
        <v>7292</v>
      </c>
      <c r="BF721" s="2" t="str">
        <f>HYPERLINK("http://dx.doi.org/10.1071/EN18238","http://dx.doi.org/10.1071/EN18238")</f>
        <v>http://dx.doi.org/10.1071/EN18238</v>
      </c>
      <c r="BG721" s="1" t="s">
        <v>74</v>
      </c>
      <c r="BH721" s="1" t="s">
        <v>74</v>
      </c>
      <c r="BI721" s="1" t="s">
        <v>74</v>
      </c>
      <c r="BJ721" s="1" t="s">
        <v>74</v>
      </c>
      <c r="BK721" s="1" t="s">
        <v>74</v>
      </c>
      <c r="BL721" s="1" t="s">
        <v>74</v>
      </c>
      <c r="BM721" s="1" t="s">
        <v>74</v>
      </c>
      <c r="BN721" s="1" t="s">
        <v>74</v>
      </c>
      <c r="BO721" s="1" t="s">
        <v>74</v>
      </c>
      <c r="BP721" s="1" t="s">
        <v>74</v>
      </c>
      <c r="BQ721" s="1" t="s">
        <v>74</v>
      </c>
      <c r="BR721" s="1" t="s">
        <v>74</v>
      </c>
      <c r="BS721" s="1" t="s">
        <v>7293</v>
      </c>
      <c r="BT721" s="1" t="str">
        <f>HYPERLINK("https%3A%2F%2Fwww.webofscience.com%2Fwos%2Fwoscc%2Ffull-record%2FWOS:000473747800006","View Full Record in Web of Science")</f>
        <v>View Full Record in Web of Science</v>
      </c>
    </row>
    <row r="722" ht="12.75" customHeight="1">
      <c r="A722" s="1" t="s">
        <v>72</v>
      </c>
      <c r="B722" s="1" t="s">
        <v>7294</v>
      </c>
      <c r="C722" s="1" t="s">
        <v>74</v>
      </c>
      <c r="D722" s="1" t="s">
        <v>74</v>
      </c>
      <c r="E722" s="1" t="s">
        <v>74</v>
      </c>
      <c r="F722" s="1" t="s">
        <v>7295</v>
      </c>
      <c r="G722" s="1" t="s">
        <v>74</v>
      </c>
      <c r="H722" s="1" t="s">
        <v>74</v>
      </c>
      <c r="I722" s="1" t="s">
        <v>7296</v>
      </c>
      <c r="J722" s="1" t="s">
        <v>6628</v>
      </c>
      <c r="K722" s="1" t="s">
        <v>74</v>
      </c>
      <c r="L722" s="1" t="s">
        <v>74</v>
      </c>
      <c r="M722" s="1" t="s">
        <v>74</v>
      </c>
      <c r="N722" s="1" t="s">
        <v>74</v>
      </c>
      <c r="O722" s="1" t="s">
        <v>74</v>
      </c>
      <c r="P722" s="1" t="s">
        <v>74</v>
      </c>
      <c r="Q722" s="1" t="s">
        <v>74</v>
      </c>
      <c r="R722" s="1" t="s">
        <v>74</v>
      </c>
      <c r="S722" s="1" t="s">
        <v>74</v>
      </c>
      <c r="T722" s="1" t="s">
        <v>74</v>
      </c>
      <c r="U722" s="1" t="s">
        <v>74</v>
      </c>
      <c r="V722" s="1" t="s">
        <v>7297</v>
      </c>
      <c r="W722" s="1" t="s">
        <v>74</v>
      </c>
      <c r="X722" s="1" t="s">
        <v>74</v>
      </c>
      <c r="Y722" s="1" t="s">
        <v>74</v>
      </c>
      <c r="Z722" s="1" t="s">
        <v>74</v>
      </c>
      <c r="AA722" s="1" t="s">
        <v>7298</v>
      </c>
      <c r="AB722" s="1" t="s">
        <v>7299</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6632</v>
      </c>
      <c r="AP722" s="1" t="s">
        <v>6633</v>
      </c>
      <c r="AQ722" s="1" t="s">
        <v>74</v>
      </c>
      <c r="AR722" s="1" t="s">
        <v>74</v>
      </c>
      <c r="AS722" s="1" t="s">
        <v>74</v>
      </c>
      <c r="AT722" s="1" t="s">
        <v>7300</v>
      </c>
      <c r="AU722" s="1">
        <v>2022.0</v>
      </c>
      <c r="AV722" s="1">
        <v>933.0</v>
      </c>
      <c r="AW722" s="1">
        <v>1.0</v>
      </c>
      <c r="AX722" s="1" t="s">
        <v>74</v>
      </c>
      <c r="AY722" s="1" t="s">
        <v>74</v>
      </c>
      <c r="AZ722" s="1" t="s">
        <v>74</v>
      </c>
      <c r="BA722" s="1" t="s">
        <v>74</v>
      </c>
      <c r="BB722" s="1" t="s">
        <v>74</v>
      </c>
      <c r="BC722" s="1" t="s">
        <v>74</v>
      </c>
      <c r="BD722" s="1" t="s">
        <v>7301</v>
      </c>
      <c r="BE722" s="1" t="s">
        <v>7302</v>
      </c>
      <c r="BF722" s="2" t="str">
        <f>HYPERLINK("http://dx.doi.org/10.3847/2041-8213/ac75e8","http://dx.doi.org/10.3847/2041-8213/ac75e8")</f>
        <v>http://dx.doi.org/10.3847/2041-8213/ac75e8</v>
      </c>
      <c r="BG722" s="1" t="s">
        <v>74</v>
      </c>
      <c r="BH722" s="1" t="s">
        <v>74</v>
      </c>
      <c r="BI722" s="1" t="s">
        <v>74</v>
      </c>
      <c r="BJ722" s="1" t="s">
        <v>74</v>
      </c>
      <c r="BK722" s="1" t="s">
        <v>74</v>
      </c>
      <c r="BL722" s="1" t="s">
        <v>74</v>
      </c>
      <c r="BM722" s="1" t="s">
        <v>74</v>
      </c>
      <c r="BN722" s="1" t="s">
        <v>74</v>
      </c>
      <c r="BO722" s="1" t="s">
        <v>74</v>
      </c>
      <c r="BP722" s="1" t="s">
        <v>74</v>
      </c>
      <c r="BQ722" s="1" t="s">
        <v>74</v>
      </c>
      <c r="BR722" s="1" t="s">
        <v>74</v>
      </c>
      <c r="BS722" s="1" t="s">
        <v>7303</v>
      </c>
      <c r="BT722" s="1" t="str">
        <f>HYPERLINK("https%3A%2F%2Fwww.webofscience.com%2Fwos%2Fwoscc%2Ffull-record%2FWOS:000818486100001","View Full Record in Web of Science")</f>
        <v>View Full Record in Web of Science</v>
      </c>
    </row>
    <row r="723" ht="12.75" customHeight="1">
      <c r="A723" s="1" t="s">
        <v>462</v>
      </c>
      <c r="B723" s="1" t="s">
        <v>7304</v>
      </c>
      <c r="C723" s="1" t="s">
        <v>74</v>
      </c>
      <c r="D723" s="1" t="s">
        <v>7305</v>
      </c>
      <c r="E723" s="1" t="s">
        <v>74</v>
      </c>
      <c r="F723" s="1" t="s">
        <v>7306</v>
      </c>
      <c r="G723" s="1" t="s">
        <v>74</v>
      </c>
      <c r="H723" s="1" t="s">
        <v>74</v>
      </c>
      <c r="I723" s="1" t="s">
        <v>7307</v>
      </c>
      <c r="J723" s="1" t="s">
        <v>7308</v>
      </c>
      <c r="K723" s="1" t="s">
        <v>7309</v>
      </c>
      <c r="L723" s="1" t="s">
        <v>74</v>
      </c>
      <c r="M723" s="1" t="s">
        <v>74</v>
      </c>
      <c r="N723" s="1" t="s">
        <v>74</v>
      </c>
      <c r="O723" s="1" t="s">
        <v>7310</v>
      </c>
      <c r="P723" s="1" t="s">
        <v>7311</v>
      </c>
      <c r="Q723" s="1" t="s">
        <v>7312</v>
      </c>
      <c r="R723" s="1" t="s">
        <v>7313</v>
      </c>
      <c r="S723" s="1" t="s">
        <v>74</v>
      </c>
      <c r="T723" s="1" t="s">
        <v>74</v>
      </c>
      <c r="U723" s="1" t="s">
        <v>74</v>
      </c>
      <c r="V723" s="1" t="s">
        <v>7314</v>
      </c>
      <c r="W723" s="1" t="s">
        <v>74</v>
      </c>
      <c r="X723" s="1" t="s">
        <v>74</v>
      </c>
      <c r="Y723" s="1" t="s">
        <v>74</v>
      </c>
      <c r="Z723" s="1" t="s">
        <v>74</v>
      </c>
      <c r="AA723" s="1" t="s">
        <v>7315</v>
      </c>
      <c r="AB723" s="1" t="s">
        <v>7316</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7317</v>
      </c>
      <c r="AP723" s="1" t="s">
        <v>74</v>
      </c>
      <c r="AQ723" s="1" t="s">
        <v>7318</v>
      </c>
      <c r="AR723" s="1" t="s">
        <v>74</v>
      </c>
      <c r="AS723" s="1" t="s">
        <v>74</v>
      </c>
      <c r="AT723" s="1" t="s">
        <v>74</v>
      </c>
      <c r="AU723" s="1">
        <v>2013.0</v>
      </c>
      <c r="AV723" s="1">
        <v>1566.0</v>
      </c>
      <c r="AW723" s="1" t="s">
        <v>74</v>
      </c>
      <c r="AX723" s="1" t="s">
        <v>74</v>
      </c>
      <c r="AY723" s="1" t="s">
        <v>74</v>
      </c>
      <c r="AZ723" s="1" t="s">
        <v>74</v>
      </c>
      <c r="BA723" s="1" t="s">
        <v>74</v>
      </c>
      <c r="BB723" s="1">
        <v>229.0</v>
      </c>
      <c r="BC723" s="1" t="s">
        <v>966</v>
      </c>
      <c r="BD723" s="1" t="s">
        <v>74</v>
      </c>
      <c r="BE723" s="1" t="s">
        <v>7319</v>
      </c>
      <c r="BF723" s="2" t="str">
        <f>HYPERLINK("http://dx.doi.org/10.1063/1.4848369","http://dx.doi.org/10.1063/1.4848369")</f>
        <v>http://dx.doi.org/10.1063/1.4848369</v>
      </c>
      <c r="BG723" s="1" t="s">
        <v>74</v>
      </c>
      <c r="BH723" s="1" t="s">
        <v>74</v>
      </c>
      <c r="BI723" s="1" t="s">
        <v>74</v>
      </c>
      <c r="BJ723" s="1" t="s">
        <v>74</v>
      </c>
      <c r="BK723" s="1" t="s">
        <v>74</v>
      </c>
      <c r="BL723" s="1" t="s">
        <v>74</v>
      </c>
      <c r="BM723" s="1" t="s">
        <v>74</v>
      </c>
      <c r="BN723" s="1" t="s">
        <v>74</v>
      </c>
      <c r="BO723" s="1" t="s">
        <v>74</v>
      </c>
      <c r="BP723" s="1" t="s">
        <v>74</v>
      </c>
      <c r="BQ723" s="1" t="s">
        <v>74</v>
      </c>
      <c r="BR723" s="1" t="s">
        <v>74</v>
      </c>
      <c r="BS723" s="1" t="s">
        <v>7320</v>
      </c>
      <c r="BT723" s="1" t="str">
        <f>HYPERLINK("https%3A%2F%2Fwww.webofscience.com%2Fwos%2Fwoscc%2Ffull-record%2FWOS:000331793000114","View Full Record in Web of Science")</f>
        <v>View Full Record in Web of Science</v>
      </c>
    </row>
    <row r="724" ht="12.75" customHeight="1">
      <c r="A724" s="1" t="s">
        <v>72</v>
      </c>
      <c r="B724" s="1" t="s">
        <v>7321</v>
      </c>
      <c r="C724" s="1" t="s">
        <v>74</v>
      </c>
      <c r="D724" s="1" t="s">
        <v>74</v>
      </c>
      <c r="E724" s="1" t="s">
        <v>74</v>
      </c>
      <c r="F724" s="1" t="s">
        <v>7322</v>
      </c>
      <c r="G724" s="1" t="s">
        <v>74</v>
      </c>
      <c r="H724" s="1" t="s">
        <v>74</v>
      </c>
      <c r="I724" s="1" t="s">
        <v>7323</v>
      </c>
      <c r="J724" s="1" t="s">
        <v>7324</v>
      </c>
      <c r="K724" s="1" t="s">
        <v>74</v>
      </c>
      <c r="L724" s="1" t="s">
        <v>74</v>
      </c>
      <c r="M724" s="1" t="s">
        <v>74</v>
      </c>
      <c r="N724" s="1" t="s">
        <v>74</v>
      </c>
      <c r="O724" s="1" t="s">
        <v>74</v>
      </c>
      <c r="P724" s="1" t="s">
        <v>74</v>
      </c>
      <c r="Q724" s="1" t="s">
        <v>74</v>
      </c>
      <c r="R724" s="1" t="s">
        <v>74</v>
      </c>
      <c r="S724" s="1" t="s">
        <v>74</v>
      </c>
      <c r="T724" s="1" t="s">
        <v>74</v>
      </c>
      <c r="U724" s="1" t="s">
        <v>74</v>
      </c>
      <c r="V724" s="1" t="s">
        <v>7325</v>
      </c>
      <c r="W724" s="1" t="s">
        <v>74</v>
      </c>
      <c r="X724" s="1" t="s">
        <v>74</v>
      </c>
      <c r="Y724" s="1" t="s">
        <v>74</v>
      </c>
      <c r="Z724" s="1" t="s">
        <v>74</v>
      </c>
      <c r="AA724" s="1" t="s">
        <v>7326</v>
      </c>
      <c r="AB724" s="1" t="s">
        <v>7327</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7328</v>
      </c>
      <c r="AP724" s="1" t="s">
        <v>7329</v>
      </c>
      <c r="AQ724" s="1" t="s">
        <v>74</v>
      </c>
      <c r="AR724" s="1" t="s">
        <v>74</v>
      </c>
      <c r="AS724" s="1" t="s">
        <v>74</v>
      </c>
      <c r="AT724" s="1" t="s">
        <v>447</v>
      </c>
      <c r="AU724" s="1">
        <v>2024.0</v>
      </c>
      <c r="AV724" s="1">
        <v>31.0</v>
      </c>
      <c r="AW724" s="1" t="s">
        <v>74</v>
      </c>
      <c r="AX724" s="1" t="s">
        <v>74</v>
      </c>
      <c r="AY724" s="1" t="s">
        <v>74</v>
      </c>
      <c r="AZ724" s="1" t="s">
        <v>74</v>
      </c>
      <c r="BA724" s="1" t="s">
        <v>74</v>
      </c>
      <c r="BB724" s="1" t="s">
        <v>74</v>
      </c>
      <c r="BC724" s="1" t="s">
        <v>74</v>
      </c>
      <c r="BD724" s="1">
        <v>1.0732748241280446E16</v>
      </c>
      <c r="BE724" s="1" t="s">
        <v>7330</v>
      </c>
      <c r="BF724" s="2" t="str">
        <f>HYPERLINK("http://dx.doi.org/10.1177/10732748241280446","http://dx.doi.org/10.1177/10732748241280446")</f>
        <v>http://dx.doi.org/10.1177/10732748241280446</v>
      </c>
      <c r="BG724" s="1" t="s">
        <v>74</v>
      </c>
      <c r="BH724" s="1" t="s">
        <v>74</v>
      </c>
      <c r="BI724" s="1" t="s">
        <v>74</v>
      </c>
      <c r="BJ724" s="1" t="s">
        <v>74</v>
      </c>
      <c r="BK724" s="1" t="s">
        <v>74</v>
      </c>
      <c r="BL724" s="1" t="s">
        <v>74</v>
      </c>
      <c r="BM724" s="1" t="s">
        <v>74</v>
      </c>
      <c r="BN724" s="1">
        <v>3.9387315E7</v>
      </c>
      <c r="BO724" s="1" t="s">
        <v>74</v>
      </c>
      <c r="BP724" s="1" t="s">
        <v>74</v>
      </c>
      <c r="BQ724" s="1" t="s">
        <v>74</v>
      </c>
      <c r="BR724" s="1" t="s">
        <v>74</v>
      </c>
      <c r="BS724" s="1" t="s">
        <v>7331</v>
      </c>
      <c r="BT724" s="1" t="str">
        <f>HYPERLINK("https%3A%2F%2Fwww.webofscience.com%2Fwos%2Fwoscc%2Ffull-record%2FWOS:001345110700001","View Full Record in Web of Science")</f>
        <v>View Full Record in Web of Science</v>
      </c>
    </row>
    <row r="725" ht="12.75" customHeight="1">
      <c r="A725" s="1" t="s">
        <v>72</v>
      </c>
      <c r="B725" s="1" t="s">
        <v>7332</v>
      </c>
      <c r="C725" s="1" t="s">
        <v>74</v>
      </c>
      <c r="D725" s="1" t="s">
        <v>74</v>
      </c>
      <c r="E725" s="1" t="s">
        <v>74</v>
      </c>
      <c r="F725" s="1" t="s">
        <v>7333</v>
      </c>
      <c r="G725" s="1" t="s">
        <v>74</v>
      </c>
      <c r="H725" s="1" t="s">
        <v>74</v>
      </c>
      <c r="I725" s="1" t="s">
        <v>7334</v>
      </c>
      <c r="J725" s="1" t="s">
        <v>480</v>
      </c>
      <c r="K725" s="1" t="s">
        <v>74</v>
      </c>
      <c r="L725" s="1" t="s">
        <v>74</v>
      </c>
      <c r="M725" s="1" t="s">
        <v>74</v>
      </c>
      <c r="N725" s="1" t="s">
        <v>74</v>
      </c>
      <c r="O725" s="1" t="s">
        <v>74</v>
      </c>
      <c r="P725" s="1" t="s">
        <v>74</v>
      </c>
      <c r="Q725" s="1" t="s">
        <v>74</v>
      </c>
      <c r="R725" s="1" t="s">
        <v>74</v>
      </c>
      <c r="S725" s="1" t="s">
        <v>74</v>
      </c>
      <c r="T725" s="1" t="s">
        <v>74</v>
      </c>
      <c r="U725" s="1" t="s">
        <v>74</v>
      </c>
      <c r="V725" s="1" t="s">
        <v>7335</v>
      </c>
      <c r="W725" s="1" t="s">
        <v>74</v>
      </c>
      <c r="X725" s="1" t="s">
        <v>74</v>
      </c>
      <c r="Y725" s="1" t="s">
        <v>74</v>
      </c>
      <c r="Z725" s="1" t="s">
        <v>74</v>
      </c>
      <c r="AA725" s="1" t="s">
        <v>7336</v>
      </c>
      <c r="AB725" s="1" t="s">
        <v>7337</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484</v>
      </c>
      <c r="AP725" s="1" t="s">
        <v>74</v>
      </c>
      <c r="AQ725" s="1" t="s">
        <v>74</v>
      </c>
      <c r="AR725" s="1" t="s">
        <v>74</v>
      </c>
      <c r="AS725" s="1" t="s">
        <v>74</v>
      </c>
      <c r="AT725" s="1" t="s">
        <v>6308</v>
      </c>
      <c r="AU725" s="1">
        <v>2020.0</v>
      </c>
      <c r="AV725" s="1">
        <v>10.0</v>
      </c>
      <c r="AW725" s="1">
        <v>1.0</v>
      </c>
      <c r="AX725" s="1" t="s">
        <v>74</v>
      </c>
      <c r="AY725" s="1" t="s">
        <v>74</v>
      </c>
      <c r="AZ725" s="1" t="s">
        <v>74</v>
      </c>
      <c r="BA725" s="1" t="s">
        <v>74</v>
      </c>
      <c r="BB725" s="1" t="s">
        <v>74</v>
      </c>
      <c r="BC725" s="1" t="s">
        <v>74</v>
      </c>
      <c r="BD725" s="1">
        <v>22275.0</v>
      </c>
      <c r="BE725" s="1" t="s">
        <v>7338</v>
      </c>
      <c r="BF725" s="2" t="str">
        <f>HYPERLINK("http://dx.doi.org/10.1038/s41598-020-78970-3","http://dx.doi.org/10.1038/s41598-020-78970-3")</f>
        <v>http://dx.doi.org/10.1038/s41598-020-78970-3</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7339</v>
      </c>
      <c r="BT725" s="1" t="str">
        <f>HYPERLINK("https%3A%2F%2Fwww.webofscience.com%2Fwos%2Fwoscc%2Ffull-record%2FWOS:000603258300084","View Full Record in Web of Science")</f>
        <v>View Full Record in Web of Science</v>
      </c>
    </row>
    <row r="726" ht="12.75" customHeight="1">
      <c r="A726" s="1" t="s">
        <v>72</v>
      </c>
      <c r="B726" s="1" t="s">
        <v>7340</v>
      </c>
      <c r="C726" s="1" t="s">
        <v>74</v>
      </c>
      <c r="D726" s="1" t="s">
        <v>74</v>
      </c>
      <c r="E726" s="1" t="s">
        <v>74</v>
      </c>
      <c r="F726" s="1" t="s">
        <v>7341</v>
      </c>
      <c r="G726" s="1" t="s">
        <v>74</v>
      </c>
      <c r="H726" s="1" t="s">
        <v>74</v>
      </c>
      <c r="I726" s="1" t="s">
        <v>7342</v>
      </c>
      <c r="J726" s="1" t="s">
        <v>2532</v>
      </c>
      <c r="K726" s="1" t="s">
        <v>74</v>
      </c>
      <c r="L726" s="1" t="s">
        <v>74</v>
      </c>
      <c r="M726" s="1" t="s">
        <v>74</v>
      </c>
      <c r="N726" s="1" t="s">
        <v>74</v>
      </c>
      <c r="O726" s="1" t="s">
        <v>74</v>
      </c>
      <c r="P726" s="1" t="s">
        <v>74</v>
      </c>
      <c r="Q726" s="1" t="s">
        <v>74</v>
      </c>
      <c r="R726" s="1" t="s">
        <v>74</v>
      </c>
      <c r="S726" s="1" t="s">
        <v>74</v>
      </c>
      <c r="T726" s="1" t="s">
        <v>74</v>
      </c>
      <c r="U726" s="1" t="s">
        <v>74</v>
      </c>
      <c r="V726" s="1" t="s">
        <v>7343</v>
      </c>
      <c r="W726" s="1" t="s">
        <v>74</v>
      </c>
      <c r="X726" s="1" t="s">
        <v>74</v>
      </c>
      <c r="Y726" s="1" t="s">
        <v>74</v>
      </c>
      <c r="Z726" s="1" t="s">
        <v>74</v>
      </c>
      <c r="AA726" s="1" t="s">
        <v>7344</v>
      </c>
      <c r="AB726" s="1" t="s">
        <v>7345</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2536</v>
      </c>
      <c r="AP726" s="1" t="s">
        <v>2537</v>
      </c>
      <c r="AQ726" s="1" t="s">
        <v>74</v>
      </c>
      <c r="AR726" s="1" t="s">
        <v>74</v>
      </c>
      <c r="AS726" s="1" t="s">
        <v>74</v>
      </c>
      <c r="AT726" s="1" t="s">
        <v>7346</v>
      </c>
      <c r="AU726" s="1">
        <v>2011.0</v>
      </c>
      <c r="AV726" s="1">
        <v>367.0</v>
      </c>
      <c r="AW726" s="1">
        <v>1.0</v>
      </c>
      <c r="AX726" s="1" t="s">
        <v>74</v>
      </c>
      <c r="AY726" s="1" t="s">
        <v>74</v>
      </c>
      <c r="AZ726" s="1" t="s">
        <v>74</v>
      </c>
      <c r="BA726" s="1" t="s">
        <v>74</v>
      </c>
      <c r="BB726" s="1">
        <v>21.0</v>
      </c>
      <c r="BC726" s="1">
        <v>28.0</v>
      </c>
      <c r="BD726" s="1" t="s">
        <v>74</v>
      </c>
      <c r="BE726" s="1" t="s">
        <v>7347</v>
      </c>
      <c r="BF726" s="2" t="str">
        <f>HYPERLINK("http://dx.doi.org/10.1016/j.ica.2010.11.045","http://dx.doi.org/10.1016/j.ica.2010.11.045")</f>
        <v>http://dx.doi.org/10.1016/j.ica.2010.11.045</v>
      </c>
      <c r="BG726" s="1" t="s">
        <v>74</v>
      </c>
      <c r="BH726" s="1" t="s">
        <v>74</v>
      </c>
      <c r="BI726" s="1" t="s">
        <v>74</v>
      </c>
      <c r="BJ726" s="1" t="s">
        <v>74</v>
      </c>
      <c r="BK726" s="1" t="s">
        <v>74</v>
      </c>
      <c r="BL726" s="1" t="s">
        <v>74</v>
      </c>
      <c r="BM726" s="1" t="s">
        <v>74</v>
      </c>
      <c r="BN726" s="1" t="s">
        <v>74</v>
      </c>
      <c r="BO726" s="1" t="s">
        <v>74</v>
      </c>
      <c r="BP726" s="1" t="s">
        <v>74</v>
      </c>
      <c r="BQ726" s="1" t="s">
        <v>74</v>
      </c>
      <c r="BR726" s="1" t="s">
        <v>74</v>
      </c>
      <c r="BS726" s="1" t="s">
        <v>7348</v>
      </c>
      <c r="BT726" s="1" t="str">
        <f>HYPERLINK("https%3A%2F%2Fwww.webofscience.com%2Fwos%2Fwoscc%2Ffull-record%2FWOS:000286930000004","View Full Record in Web of Science")</f>
        <v>View Full Record in Web of Science</v>
      </c>
    </row>
    <row r="727" ht="12.75" customHeight="1">
      <c r="A727" s="1" t="s">
        <v>72</v>
      </c>
      <c r="B727" s="1" t="s">
        <v>7349</v>
      </c>
      <c r="C727" s="1" t="s">
        <v>74</v>
      </c>
      <c r="D727" s="1" t="s">
        <v>74</v>
      </c>
      <c r="E727" s="1" t="s">
        <v>74</v>
      </c>
      <c r="F727" s="1" t="s">
        <v>7350</v>
      </c>
      <c r="G727" s="1" t="s">
        <v>74</v>
      </c>
      <c r="H727" s="1" t="s">
        <v>74</v>
      </c>
      <c r="I727" s="1" t="s">
        <v>7351</v>
      </c>
      <c r="J727" s="1" t="s">
        <v>88</v>
      </c>
      <c r="K727" s="1" t="s">
        <v>74</v>
      </c>
      <c r="L727" s="1" t="s">
        <v>74</v>
      </c>
      <c r="M727" s="1" t="s">
        <v>74</v>
      </c>
      <c r="N727" s="1" t="s">
        <v>74</v>
      </c>
      <c r="O727" s="1" t="s">
        <v>74</v>
      </c>
      <c r="P727" s="1" t="s">
        <v>74</v>
      </c>
      <c r="Q727" s="1" t="s">
        <v>74</v>
      </c>
      <c r="R727" s="1" t="s">
        <v>74</v>
      </c>
      <c r="S727" s="1" t="s">
        <v>74</v>
      </c>
      <c r="T727" s="1" t="s">
        <v>74</v>
      </c>
      <c r="U727" s="1" t="s">
        <v>74</v>
      </c>
      <c r="V727" s="1" t="s">
        <v>7352</v>
      </c>
      <c r="W727" s="1" t="s">
        <v>74</v>
      </c>
      <c r="X727" s="1" t="s">
        <v>74</v>
      </c>
      <c r="Y727" s="1" t="s">
        <v>74</v>
      </c>
      <c r="Z727" s="1" t="s">
        <v>74</v>
      </c>
      <c r="AA727" s="1" t="s">
        <v>7353</v>
      </c>
      <c r="AB727" s="1" t="s">
        <v>7354</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92</v>
      </c>
      <c r="AP727" s="1" t="s">
        <v>93</v>
      </c>
      <c r="AQ727" s="1" t="s">
        <v>74</v>
      </c>
      <c r="AR727" s="1" t="s">
        <v>74</v>
      </c>
      <c r="AS727" s="1" t="s">
        <v>74</v>
      </c>
      <c r="AT727" s="1" t="s">
        <v>106</v>
      </c>
      <c r="AU727" s="1">
        <v>2022.0</v>
      </c>
      <c r="AV727" s="1">
        <v>11.0</v>
      </c>
      <c r="AW727" s="1">
        <v>6.0</v>
      </c>
      <c r="AX727" s="1" t="s">
        <v>74</v>
      </c>
      <c r="AY727" s="1" t="s">
        <v>74</v>
      </c>
      <c r="AZ727" s="1" t="s">
        <v>74</v>
      </c>
      <c r="BA727" s="1" t="s">
        <v>74</v>
      </c>
      <c r="BB727" s="1">
        <v>656.0</v>
      </c>
      <c r="BC727" s="1">
        <v>670.0</v>
      </c>
      <c r="BD727" s="1" t="s">
        <v>74</v>
      </c>
      <c r="BE727" s="1" t="s">
        <v>7355</v>
      </c>
      <c r="BF727" s="2" t="str">
        <f>HYPERLINK("http://dx.doi.org/10.1016/j.jshs.2020.12.005","http://dx.doi.org/10.1016/j.jshs.2020.12.005")</f>
        <v>http://dx.doi.org/10.1016/j.jshs.2020.12.005</v>
      </c>
      <c r="BG727" s="1" t="s">
        <v>74</v>
      </c>
      <c r="BH727" s="1" t="s">
        <v>74</v>
      </c>
      <c r="BI727" s="1" t="s">
        <v>74</v>
      </c>
      <c r="BJ727" s="1" t="s">
        <v>74</v>
      </c>
      <c r="BK727" s="1" t="s">
        <v>74</v>
      </c>
      <c r="BL727" s="1" t="s">
        <v>74</v>
      </c>
      <c r="BM727" s="1" t="s">
        <v>74</v>
      </c>
      <c r="BN727" s="1">
        <v>3.3359798E7</v>
      </c>
      <c r="BO727" s="1" t="s">
        <v>74</v>
      </c>
      <c r="BP727" s="1" t="s">
        <v>74</v>
      </c>
      <c r="BQ727" s="1" t="s">
        <v>74</v>
      </c>
      <c r="BR727" s="1" t="s">
        <v>74</v>
      </c>
      <c r="BS727" s="1" t="s">
        <v>7356</v>
      </c>
      <c r="BT727" s="1" t="str">
        <f>HYPERLINK("https%3A%2F%2Fwww.webofscience.com%2Fwos%2Fwoscc%2Ffull-record%2FWOS:000899360200005","View Full Record in Web of Science")</f>
        <v>View Full Record in Web of Science</v>
      </c>
    </row>
    <row r="728" ht="12.75" customHeight="1">
      <c r="A728" s="1" t="s">
        <v>72</v>
      </c>
      <c r="B728" s="1" t="s">
        <v>7357</v>
      </c>
      <c r="C728" s="1" t="s">
        <v>74</v>
      </c>
      <c r="D728" s="1" t="s">
        <v>74</v>
      </c>
      <c r="E728" s="1" t="s">
        <v>74</v>
      </c>
      <c r="F728" s="1" t="s">
        <v>7358</v>
      </c>
      <c r="G728" s="1" t="s">
        <v>74</v>
      </c>
      <c r="H728" s="1" t="s">
        <v>74</v>
      </c>
      <c r="I728" s="1" t="s">
        <v>7359</v>
      </c>
      <c r="J728" s="1" t="s">
        <v>7360</v>
      </c>
      <c r="K728" s="1" t="s">
        <v>74</v>
      </c>
      <c r="L728" s="1" t="s">
        <v>74</v>
      </c>
      <c r="M728" s="1" t="s">
        <v>74</v>
      </c>
      <c r="N728" s="1" t="s">
        <v>74</v>
      </c>
      <c r="O728" s="1" t="s">
        <v>74</v>
      </c>
      <c r="P728" s="1" t="s">
        <v>74</v>
      </c>
      <c r="Q728" s="1" t="s">
        <v>74</v>
      </c>
      <c r="R728" s="1" t="s">
        <v>74</v>
      </c>
      <c r="S728" s="1" t="s">
        <v>74</v>
      </c>
      <c r="T728" s="1" t="s">
        <v>74</v>
      </c>
      <c r="U728" s="1" t="s">
        <v>74</v>
      </c>
      <c r="V728" s="1" t="s">
        <v>7361</v>
      </c>
      <c r="W728" s="1" t="s">
        <v>74</v>
      </c>
      <c r="X728" s="1" t="s">
        <v>74</v>
      </c>
      <c r="Y728" s="1" t="s">
        <v>74</v>
      </c>
      <c r="Z728" s="1" t="s">
        <v>74</v>
      </c>
      <c r="AA728" s="1" t="s">
        <v>7362</v>
      </c>
      <c r="AB728" s="1" t="s">
        <v>7363</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7364</v>
      </c>
      <c r="AP728" s="1" t="s">
        <v>7365</v>
      </c>
      <c r="AQ728" s="1" t="s">
        <v>74</v>
      </c>
      <c r="AR728" s="1" t="s">
        <v>74</v>
      </c>
      <c r="AS728" s="1" t="s">
        <v>74</v>
      </c>
      <c r="AT728" s="1" t="s">
        <v>447</v>
      </c>
      <c r="AU728" s="1">
        <v>2023.0</v>
      </c>
      <c r="AV728" s="1">
        <v>42.0</v>
      </c>
      <c r="AW728" s="1">
        <v>8.0</v>
      </c>
      <c r="AX728" s="1" t="s">
        <v>74</v>
      </c>
      <c r="AY728" s="1" t="s">
        <v>74</v>
      </c>
      <c r="AZ728" s="1" t="s">
        <v>74</v>
      </c>
      <c r="BA728" s="1" t="s">
        <v>74</v>
      </c>
      <c r="BB728" s="1">
        <v>723.0</v>
      </c>
      <c r="BC728" s="1">
        <v>729.0</v>
      </c>
      <c r="BD728" s="1" t="s">
        <v>74</v>
      </c>
      <c r="BE728" s="1" t="s">
        <v>7366</v>
      </c>
      <c r="BF728" s="2" t="str">
        <f>HYPERLINK("http://dx.doi.org/10.1097/INF.0000000000003971","http://dx.doi.org/10.1097/INF.0000000000003971")</f>
        <v>http://dx.doi.org/10.1097/INF.0000000000003971</v>
      </c>
      <c r="BG728" s="1" t="s">
        <v>74</v>
      </c>
      <c r="BH728" s="1" t="s">
        <v>74</v>
      </c>
      <c r="BI728" s="1" t="s">
        <v>74</v>
      </c>
      <c r="BJ728" s="1" t="s">
        <v>74</v>
      </c>
      <c r="BK728" s="1" t="s">
        <v>74</v>
      </c>
      <c r="BL728" s="1" t="s">
        <v>74</v>
      </c>
      <c r="BM728" s="1" t="s">
        <v>74</v>
      </c>
      <c r="BN728" s="1">
        <v>3.7235761E7</v>
      </c>
      <c r="BO728" s="1" t="s">
        <v>74</v>
      </c>
      <c r="BP728" s="1" t="s">
        <v>74</v>
      </c>
      <c r="BQ728" s="1" t="s">
        <v>74</v>
      </c>
      <c r="BR728" s="1" t="s">
        <v>74</v>
      </c>
      <c r="BS728" s="1" t="s">
        <v>7367</v>
      </c>
      <c r="BT728" s="1" t="str">
        <f>HYPERLINK("https%3A%2F%2Fwww.webofscience.com%2Fwos%2Fwoscc%2Ffull-record%2FWOS:001031771000032","View Full Record in Web of Science")</f>
        <v>View Full Record in Web of Science</v>
      </c>
    </row>
    <row r="729" ht="12.75" customHeight="1">
      <c r="A729" s="1" t="s">
        <v>72</v>
      </c>
      <c r="B729" s="1" t="s">
        <v>7368</v>
      </c>
      <c r="C729" s="1" t="s">
        <v>74</v>
      </c>
      <c r="D729" s="1" t="s">
        <v>74</v>
      </c>
      <c r="E729" s="1" t="s">
        <v>74</v>
      </c>
      <c r="F729" s="1" t="s">
        <v>7369</v>
      </c>
      <c r="G729" s="1" t="s">
        <v>74</v>
      </c>
      <c r="H729" s="1" t="s">
        <v>74</v>
      </c>
      <c r="I729" s="1" t="s">
        <v>7370</v>
      </c>
      <c r="J729" s="1" t="s">
        <v>480</v>
      </c>
      <c r="K729" s="1" t="s">
        <v>74</v>
      </c>
      <c r="L729" s="1" t="s">
        <v>74</v>
      </c>
      <c r="M729" s="1" t="s">
        <v>74</v>
      </c>
      <c r="N729" s="1" t="s">
        <v>74</v>
      </c>
      <c r="O729" s="1" t="s">
        <v>74</v>
      </c>
      <c r="P729" s="1" t="s">
        <v>74</v>
      </c>
      <c r="Q729" s="1" t="s">
        <v>74</v>
      </c>
      <c r="R729" s="1" t="s">
        <v>74</v>
      </c>
      <c r="S729" s="1" t="s">
        <v>74</v>
      </c>
      <c r="T729" s="1" t="s">
        <v>74</v>
      </c>
      <c r="U729" s="1" t="s">
        <v>74</v>
      </c>
      <c r="V729" s="1" t="s">
        <v>7371</v>
      </c>
      <c r="W729" s="1" t="s">
        <v>74</v>
      </c>
      <c r="X729" s="1" t="s">
        <v>74</v>
      </c>
      <c r="Y729" s="1" t="s">
        <v>74</v>
      </c>
      <c r="Z729" s="1" t="s">
        <v>74</v>
      </c>
      <c r="AA729" s="1" t="s">
        <v>7372</v>
      </c>
      <c r="AB729" s="1" t="s">
        <v>7373</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484</v>
      </c>
      <c r="AP729" s="1" t="s">
        <v>74</v>
      </c>
      <c r="AQ729" s="1" t="s">
        <v>74</v>
      </c>
      <c r="AR729" s="1" t="s">
        <v>74</v>
      </c>
      <c r="AS729" s="1" t="s">
        <v>74</v>
      </c>
      <c r="AT729" s="1" t="s">
        <v>997</v>
      </c>
      <c r="AU729" s="1">
        <v>2022.0</v>
      </c>
      <c r="AV729" s="1">
        <v>12.0</v>
      </c>
      <c r="AW729" s="1">
        <v>1.0</v>
      </c>
      <c r="AX729" s="1" t="s">
        <v>74</v>
      </c>
      <c r="AY729" s="1" t="s">
        <v>74</v>
      </c>
      <c r="AZ729" s="1" t="s">
        <v>74</v>
      </c>
      <c r="BA729" s="1" t="s">
        <v>74</v>
      </c>
      <c r="BB729" s="1" t="s">
        <v>74</v>
      </c>
      <c r="BC729" s="1" t="s">
        <v>74</v>
      </c>
      <c r="BD729" s="1">
        <v>1266.0</v>
      </c>
      <c r="BE729" s="1" t="s">
        <v>7374</v>
      </c>
      <c r="BF729" s="2" t="str">
        <f>HYPERLINK("http://dx.doi.org/10.1038/s41598-022-05449-8","http://dx.doi.org/10.1038/s41598-022-05449-8")</f>
        <v>http://dx.doi.org/10.1038/s41598-022-05449-8</v>
      </c>
      <c r="BG729" s="1" t="s">
        <v>74</v>
      </c>
      <c r="BH729" s="1" t="s">
        <v>74</v>
      </c>
      <c r="BI729" s="1" t="s">
        <v>74</v>
      </c>
      <c r="BJ729" s="1" t="s">
        <v>74</v>
      </c>
      <c r="BK729" s="1" t="s">
        <v>74</v>
      </c>
      <c r="BL729" s="1" t="s">
        <v>74</v>
      </c>
      <c r="BM729" s="1" t="s">
        <v>74</v>
      </c>
      <c r="BN729" s="1">
        <v>3.507524E7</v>
      </c>
      <c r="BO729" s="1" t="s">
        <v>74</v>
      </c>
      <c r="BP729" s="1" t="s">
        <v>74</v>
      </c>
      <c r="BQ729" s="1" t="s">
        <v>74</v>
      </c>
      <c r="BR729" s="1" t="s">
        <v>74</v>
      </c>
      <c r="BS729" s="1" t="s">
        <v>7375</v>
      </c>
      <c r="BT729" s="1" t="str">
        <f>HYPERLINK("https%3A%2F%2Fwww.webofscience.com%2Fwos%2Fwoscc%2Ffull-record%2FWOS:000746700700006","View Full Record in Web of Science")</f>
        <v>View Full Record in Web of Science</v>
      </c>
    </row>
    <row r="730" ht="12.75" customHeight="1">
      <c r="A730" s="1" t="s">
        <v>72</v>
      </c>
      <c r="B730" s="1" t="s">
        <v>7376</v>
      </c>
      <c r="C730" s="1" t="s">
        <v>74</v>
      </c>
      <c r="D730" s="1" t="s">
        <v>74</v>
      </c>
      <c r="E730" s="1" t="s">
        <v>74</v>
      </c>
      <c r="F730" s="1" t="s">
        <v>7377</v>
      </c>
      <c r="G730" s="1" t="s">
        <v>74</v>
      </c>
      <c r="H730" s="1" t="s">
        <v>74</v>
      </c>
      <c r="I730" s="1" t="s">
        <v>7378</v>
      </c>
      <c r="J730" s="1" t="s">
        <v>7379</v>
      </c>
      <c r="K730" s="1" t="s">
        <v>74</v>
      </c>
      <c r="L730" s="1" t="s">
        <v>74</v>
      </c>
      <c r="M730" s="1" t="s">
        <v>74</v>
      </c>
      <c r="N730" s="1" t="s">
        <v>74</v>
      </c>
      <c r="O730" s="1" t="s">
        <v>74</v>
      </c>
      <c r="P730" s="1" t="s">
        <v>74</v>
      </c>
      <c r="Q730" s="1" t="s">
        <v>74</v>
      </c>
      <c r="R730" s="1" t="s">
        <v>74</v>
      </c>
      <c r="S730" s="1" t="s">
        <v>74</v>
      </c>
      <c r="T730" s="1" t="s">
        <v>74</v>
      </c>
      <c r="U730" s="1" t="s">
        <v>74</v>
      </c>
      <c r="V730" s="1" t="s">
        <v>7380</v>
      </c>
      <c r="W730" s="1" t="s">
        <v>74</v>
      </c>
      <c r="X730" s="1" t="s">
        <v>74</v>
      </c>
      <c r="Y730" s="1" t="s">
        <v>74</v>
      </c>
      <c r="Z730" s="1" t="s">
        <v>74</v>
      </c>
      <c r="AA730" s="1" t="s">
        <v>7381</v>
      </c>
      <c r="AB730" s="1" t="s">
        <v>74</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74</v>
      </c>
      <c r="AP730" s="1" t="s">
        <v>7382</v>
      </c>
      <c r="AQ730" s="1" t="s">
        <v>74</v>
      </c>
      <c r="AR730" s="1" t="s">
        <v>74</v>
      </c>
      <c r="AS730" s="1" t="s">
        <v>74</v>
      </c>
      <c r="AT730" s="1" t="s">
        <v>2973</v>
      </c>
      <c r="AU730" s="1">
        <v>2024.0</v>
      </c>
      <c r="AV730" s="1">
        <v>6.0</v>
      </c>
      <c r="AW730" s="1" t="s">
        <v>74</v>
      </c>
      <c r="AX730" s="1" t="s">
        <v>74</v>
      </c>
      <c r="AY730" s="1" t="s">
        <v>74</v>
      </c>
      <c r="AZ730" s="1" t="s">
        <v>74</v>
      </c>
      <c r="BA730" s="1" t="s">
        <v>74</v>
      </c>
      <c r="BB730" s="1" t="s">
        <v>74</v>
      </c>
      <c r="BC730" s="1" t="s">
        <v>74</v>
      </c>
      <c r="BD730" s="1">
        <v>1480973.0</v>
      </c>
      <c r="BE730" s="1" t="s">
        <v>7383</v>
      </c>
      <c r="BF730" s="2" t="str">
        <f>HYPERLINK("http://dx.doi.org/10.3389/fspor.2024.1480973","http://dx.doi.org/10.3389/fspor.2024.1480973")</f>
        <v>http://dx.doi.org/10.3389/fspor.2024.1480973</v>
      </c>
      <c r="BG730" s="1" t="s">
        <v>74</v>
      </c>
      <c r="BH730" s="1" t="s">
        <v>74</v>
      </c>
      <c r="BI730" s="1" t="s">
        <v>74</v>
      </c>
      <c r="BJ730" s="1" t="s">
        <v>74</v>
      </c>
      <c r="BK730" s="1" t="s">
        <v>74</v>
      </c>
      <c r="BL730" s="1" t="s">
        <v>74</v>
      </c>
      <c r="BM730" s="1" t="s">
        <v>74</v>
      </c>
      <c r="BN730" s="1">
        <v>3.9512667E7</v>
      </c>
      <c r="BO730" s="1" t="s">
        <v>74</v>
      </c>
      <c r="BP730" s="1" t="s">
        <v>74</v>
      </c>
      <c r="BQ730" s="1" t="s">
        <v>74</v>
      </c>
      <c r="BR730" s="1" t="s">
        <v>74</v>
      </c>
      <c r="BS730" s="1" t="s">
        <v>7384</v>
      </c>
      <c r="BT730" s="1" t="str">
        <f>HYPERLINK("https%3A%2F%2Fwww.webofscience.com%2Fwos%2Fwoscc%2Ffull-record%2FWOS:001348533300001","View Full Record in Web of Science")</f>
        <v>View Full Record in Web of Science</v>
      </c>
    </row>
    <row r="731" ht="12.75" customHeight="1">
      <c r="A731" s="1" t="s">
        <v>72</v>
      </c>
      <c r="B731" s="1" t="s">
        <v>7385</v>
      </c>
      <c r="C731" s="1" t="s">
        <v>74</v>
      </c>
      <c r="D731" s="1" t="s">
        <v>74</v>
      </c>
      <c r="E731" s="1" t="s">
        <v>74</v>
      </c>
      <c r="F731" s="1" t="s">
        <v>7386</v>
      </c>
      <c r="G731" s="1" t="s">
        <v>74</v>
      </c>
      <c r="H731" s="1" t="s">
        <v>74</v>
      </c>
      <c r="I731" s="1" t="s">
        <v>7387</v>
      </c>
      <c r="J731" s="1" t="s">
        <v>7388</v>
      </c>
      <c r="K731" s="1" t="s">
        <v>74</v>
      </c>
      <c r="L731" s="1" t="s">
        <v>74</v>
      </c>
      <c r="M731" s="1" t="s">
        <v>74</v>
      </c>
      <c r="N731" s="1" t="s">
        <v>74</v>
      </c>
      <c r="O731" s="1" t="s">
        <v>74</v>
      </c>
      <c r="P731" s="1" t="s">
        <v>74</v>
      </c>
      <c r="Q731" s="1" t="s">
        <v>74</v>
      </c>
      <c r="R731" s="1" t="s">
        <v>74</v>
      </c>
      <c r="S731" s="1" t="s">
        <v>74</v>
      </c>
      <c r="T731" s="1" t="s">
        <v>74</v>
      </c>
      <c r="U731" s="1" t="s">
        <v>74</v>
      </c>
      <c r="V731" s="1" t="s">
        <v>7389</v>
      </c>
      <c r="W731" s="1" t="s">
        <v>74</v>
      </c>
      <c r="X731" s="1" t="s">
        <v>74</v>
      </c>
      <c r="Y731" s="1" t="s">
        <v>74</v>
      </c>
      <c r="Z731" s="1" t="s">
        <v>74</v>
      </c>
      <c r="AA731" s="1" t="s">
        <v>7390</v>
      </c>
      <c r="AB731" s="1" t="s">
        <v>7391</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7392</v>
      </c>
      <c r="AP731" s="1" t="s">
        <v>7393</v>
      </c>
      <c r="AQ731" s="1" t="s">
        <v>74</v>
      </c>
      <c r="AR731" s="1" t="s">
        <v>74</v>
      </c>
      <c r="AS731" s="1" t="s">
        <v>74</v>
      </c>
      <c r="AT731" s="1" t="s">
        <v>392</v>
      </c>
      <c r="AU731" s="1">
        <v>2024.0</v>
      </c>
      <c r="AV731" s="1">
        <v>136.0</v>
      </c>
      <c r="AW731" s="1" t="s">
        <v>74</v>
      </c>
      <c r="AX731" s="1" t="s">
        <v>74</v>
      </c>
      <c r="AY731" s="1" t="s">
        <v>74</v>
      </c>
      <c r="AZ731" s="1" t="s">
        <v>74</v>
      </c>
      <c r="BA731" s="1" t="s">
        <v>74</v>
      </c>
      <c r="BB731" s="1">
        <v>78.0</v>
      </c>
      <c r="BC731" s="1">
        <v>87.0</v>
      </c>
      <c r="BD731" s="1" t="s">
        <v>74</v>
      </c>
      <c r="BE731" s="1" t="s">
        <v>7394</v>
      </c>
      <c r="BF731" s="2" t="str">
        <f>HYPERLINK("http://dx.doi.org/10.1016/j.neurobiolaging.2024.01.001","http://dx.doi.org/10.1016/j.neurobiolaging.2024.01.001")</f>
        <v>http://dx.doi.org/10.1016/j.neurobiolaging.2024.01.001</v>
      </c>
      <c r="BG731" s="1" t="s">
        <v>74</v>
      </c>
      <c r="BH731" s="1" t="s">
        <v>1329</v>
      </c>
      <c r="BI731" s="1" t="s">
        <v>74</v>
      </c>
      <c r="BJ731" s="1" t="s">
        <v>74</v>
      </c>
      <c r="BK731" s="1" t="s">
        <v>74</v>
      </c>
      <c r="BL731" s="1" t="s">
        <v>74</v>
      </c>
      <c r="BM731" s="1" t="s">
        <v>74</v>
      </c>
      <c r="BN731" s="1">
        <v>3.8330642E7</v>
      </c>
      <c r="BO731" s="1" t="s">
        <v>74</v>
      </c>
      <c r="BP731" s="1" t="s">
        <v>74</v>
      </c>
      <c r="BQ731" s="1" t="s">
        <v>74</v>
      </c>
      <c r="BR731" s="1" t="s">
        <v>74</v>
      </c>
      <c r="BS731" s="1" t="s">
        <v>7395</v>
      </c>
      <c r="BT731" s="1" t="str">
        <f>HYPERLINK("https%3A%2F%2Fwww.webofscience.com%2Fwos%2Fwoscc%2Ffull-record%2FWOS:001183738700001","View Full Record in Web of Science")</f>
        <v>View Full Record in Web of Science</v>
      </c>
    </row>
    <row r="732" ht="12.75" customHeight="1">
      <c r="A732" s="1" t="s">
        <v>72</v>
      </c>
      <c r="B732" s="1" t="s">
        <v>7396</v>
      </c>
      <c r="C732" s="1" t="s">
        <v>74</v>
      </c>
      <c r="D732" s="1" t="s">
        <v>74</v>
      </c>
      <c r="E732" s="1" t="s">
        <v>74</v>
      </c>
      <c r="F732" s="1" t="s">
        <v>7397</v>
      </c>
      <c r="G732" s="1" t="s">
        <v>74</v>
      </c>
      <c r="H732" s="1" t="s">
        <v>74</v>
      </c>
      <c r="I732" s="1" t="s">
        <v>7398</v>
      </c>
      <c r="J732" s="1" t="s">
        <v>7399</v>
      </c>
      <c r="K732" s="1" t="s">
        <v>74</v>
      </c>
      <c r="L732" s="1" t="s">
        <v>74</v>
      </c>
      <c r="M732" s="1" t="s">
        <v>74</v>
      </c>
      <c r="N732" s="1" t="s">
        <v>74</v>
      </c>
      <c r="O732" s="1" t="s">
        <v>74</v>
      </c>
      <c r="P732" s="1" t="s">
        <v>74</v>
      </c>
      <c r="Q732" s="1" t="s">
        <v>74</v>
      </c>
      <c r="R732" s="1" t="s">
        <v>74</v>
      </c>
      <c r="S732" s="1" t="s">
        <v>74</v>
      </c>
      <c r="T732" s="1" t="s">
        <v>74</v>
      </c>
      <c r="U732" s="1" t="s">
        <v>74</v>
      </c>
      <c r="V732" s="1" t="s">
        <v>7400</v>
      </c>
      <c r="W732" s="1" t="s">
        <v>74</v>
      </c>
      <c r="X732" s="1" t="s">
        <v>74</v>
      </c>
      <c r="Y732" s="1" t="s">
        <v>74</v>
      </c>
      <c r="Z732" s="1" t="s">
        <v>74</v>
      </c>
      <c r="AA732" s="1" t="s">
        <v>7401</v>
      </c>
      <c r="AB732" s="1" t="s">
        <v>7402</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74</v>
      </c>
      <c r="AP732" s="1" t="s">
        <v>7403</v>
      </c>
      <c r="AQ732" s="1" t="s">
        <v>74</v>
      </c>
      <c r="AR732" s="1" t="s">
        <v>74</v>
      </c>
      <c r="AS732" s="1" t="s">
        <v>74</v>
      </c>
      <c r="AT732" s="1" t="s">
        <v>7404</v>
      </c>
      <c r="AU732" s="1">
        <v>2020.0</v>
      </c>
      <c r="AV732" s="1">
        <v>11.0</v>
      </c>
      <c r="AW732" s="1" t="s">
        <v>74</v>
      </c>
      <c r="AX732" s="1" t="s">
        <v>74</v>
      </c>
      <c r="AY732" s="1" t="s">
        <v>74</v>
      </c>
      <c r="AZ732" s="1" t="s">
        <v>74</v>
      </c>
      <c r="BA732" s="1" t="s">
        <v>74</v>
      </c>
      <c r="BB732" s="1" t="s">
        <v>74</v>
      </c>
      <c r="BC732" s="1" t="s">
        <v>74</v>
      </c>
      <c r="BD732" s="1">
        <v>856.0</v>
      </c>
      <c r="BE732" s="1" t="s">
        <v>7405</v>
      </c>
      <c r="BF732" s="2" t="str">
        <f>HYPERLINK("http://dx.doi.org/10.3389/fgene.2020.00856","http://dx.doi.org/10.3389/fgene.2020.00856")</f>
        <v>http://dx.doi.org/10.3389/fgene.2020.00856</v>
      </c>
      <c r="BG732" s="1" t="s">
        <v>74</v>
      </c>
      <c r="BH732" s="1" t="s">
        <v>74</v>
      </c>
      <c r="BI732" s="1" t="s">
        <v>74</v>
      </c>
      <c r="BJ732" s="1" t="s">
        <v>74</v>
      </c>
      <c r="BK732" s="1" t="s">
        <v>74</v>
      </c>
      <c r="BL732" s="1" t="s">
        <v>74</v>
      </c>
      <c r="BM732" s="1" t="s">
        <v>74</v>
      </c>
      <c r="BN732" s="1">
        <v>3.3014012E7</v>
      </c>
      <c r="BO732" s="1" t="s">
        <v>74</v>
      </c>
      <c r="BP732" s="1" t="s">
        <v>74</v>
      </c>
      <c r="BQ732" s="1" t="s">
        <v>74</v>
      </c>
      <c r="BR732" s="1" t="s">
        <v>74</v>
      </c>
      <c r="BS732" s="1" t="s">
        <v>7406</v>
      </c>
      <c r="BT732" s="1" t="str">
        <f>HYPERLINK("https%3A%2F%2Fwww.webofscience.com%2Fwos%2Fwoscc%2Ffull-record%2FWOS:000567930500001","View Full Record in Web of Science")</f>
        <v>View Full Record in Web of Science</v>
      </c>
    </row>
    <row r="733" ht="12.75" customHeight="1">
      <c r="A733" s="1" t="s">
        <v>72</v>
      </c>
      <c r="B733" s="1" t="s">
        <v>7407</v>
      </c>
      <c r="C733" s="1" t="s">
        <v>74</v>
      </c>
      <c r="D733" s="1" t="s">
        <v>74</v>
      </c>
      <c r="E733" s="1" t="s">
        <v>74</v>
      </c>
      <c r="F733" s="1" t="s">
        <v>7408</v>
      </c>
      <c r="G733" s="1" t="s">
        <v>74</v>
      </c>
      <c r="H733" s="1" t="s">
        <v>74</v>
      </c>
      <c r="I733" s="1" t="s">
        <v>7409</v>
      </c>
      <c r="J733" s="1" t="s">
        <v>7410</v>
      </c>
      <c r="K733" s="1" t="s">
        <v>74</v>
      </c>
      <c r="L733" s="1" t="s">
        <v>74</v>
      </c>
      <c r="M733" s="1" t="s">
        <v>74</v>
      </c>
      <c r="N733" s="1" t="s">
        <v>74</v>
      </c>
      <c r="O733" s="1" t="s">
        <v>74</v>
      </c>
      <c r="P733" s="1" t="s">
        <v>74</v>
      </c>
      <c r="Q733" s="1" t="s">
        <v>74</v>
      </c>
      <c r="R733" s="1" t="s">
        <v>74</v>
      </c>
      <c r="S733" s="1" t="s">
        <v>74</v>
      </c>
      <c r="T733" s="1" t="s">
        <v>74</v>
      </c>
      <c r="U733" s="1" t="s">
        <v>74</v>
      </c>
      <c r="V733" s="1" t="s">
        <v>7411</v>
      </c>
      <c r="W733" s="1" t="s">
        <v>74</v>
      </c>
      <c r="X733" s="1" t="s">
        <v>74</v>
      </c>
      <c r="Y733" s="1" t="s">
        <v>74</v>
      </c>
      <c r="Z733" s="1" t="s">
        <v>74</v>
      </c>
      <c r="AA733" s="1" t="s">
        <v>7412</v>
      </c>
      <c r="AB733" s="1" t="s">
        <v>7413</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7414</v>
      </c>
      <c r="AP733" s="1" t="s">
        <v>7415</v>
      </c>
      <c r="AQ733" s="1" t="s">
        <v>74</v>
      </c>
      <c r="AR733" s="1" t="s">
        <v>74</v>
      </c>
      <c r="AS733" s="1" t="s">
        <v>74</v>
      </c>
      <c r="AT733" s="1" t="s">
        <v>264</v>
      </c>
      <c r="AU733" s="1">
        <v>2017.0</v>
      </c>
      <c r="AV733" s="1">
        <v>34.0</v>
      </c>
      <c r="AW733" s="1">
        <v>1.0</v>
      </c>
      <c r="AX733" s="1" t="s">
        <v>74</v>
      </c>
      <c r="AY733" s="1" t="s">
        <v>74</v>
      </c>
      <c r="AZ733" s="1" t="s">
        <v>74</v>
      </c>
      <c r="BA733" s="1" t="s">
        <v>74</v>
      </c>
      <c r="BB733" s="1">
        <v>53.0</v>
      </c>
      <c r="BC733" s="1">
        <v>60.0</v>
      </c>
      <c r="BD733" s="1" t="s">
        <v>74</v>
      </c>
      <c r="BE733" s="1" t="s">
        <v>7416</v>
      </c>
      <c r="BF733" s="2" t="str">
        <f>HYPERLINK("http://dx.doi.org/10.1111/echo.13401","http://dx.doi.org/10.1111/echo.13401")</f>
        <v>http://dx.doi.org/10.1111/echo.13401</v>
      </c>
      <c r="BG733" s="1" t="s">
        <v>74</v>
      </c>
      <c r="BH733" s="1" t="s">
        <v>74</v>
      </c>
      <c r="BI733" s="1" t="s">
        <v>74</v>
      </c>
      <c r="BJ733" s="1" t="s">
        <v>74</v>
      </c>
      <c r="BK733" s="1" t="s">
        <v>74</v>
      </c>
      <c r="BL733" s="1" t="s">
        <v>74</v>
      </c>
      <c r="BM733" s="1" t="s">
        <v>74</v>
      </c>
      <c r="BN733" s="1">
        <v>2.7739097E7</v>
      </c>
      <c r="BO733" s="1" t="s">
        <v>74</v>
      </c>
      <c r="BP733" s="1" t="s">
        <v>74</v>
      </c>
      <c r="BQ733" s="1" t="s">
        <v>74</v>
      </c>
      <c r="BR733" s="1" t="s">
        <v>74</v>
      </c>
      <c r="BS733" s="1" t="s">
        <v>7417</v>
      </c>
      <c r="BT733" s="1" t="str">
        <f>HYPERLINK("https%3A%2F%2Fwww.webofscience.com%2Fwos%2Fwoscc%2Ffull-record%2FWOS:000395406000007","View Full Record in Web of Science")</f>
        <v>View Full Record in Web of Science</v>
      </c>
    </row>
    <row r="734" ht="12.75" customHeight="1">
      <c r="A734" s="1" t="s">
        <v>72</v>
      </c>
      <c r="B734" s="1" t="s">
        <v>7418</v>
      </c>
      <c r="C734" s="1" t="s">
        <v>74</v>
      </c>
      <c r="D734" s="1" t="s">
        <v>74</v>
      </c>
      <c r="E734" s="1" t="s">
        <v>74</v>
      </c>
      <c r="F734" s="1" t="s">
        <v>7419</v>
      </c>
      <c r="G734" s="1" t="s">
        <v>74</v>
      </c>
      <c r="H734" s="1" t="s">
        <v>74</v>
      </c>
      <c r="I734" s="1" t="s">
        <v>7420</v>
      </c>
      <c r="J734" s="1" t="s">
        <v>7421</v>
      </c>
      <c r="K734" s="1" t="s">
        <v>74</v>
      </c>
      <c r="L734" s="1" t="s">
        <v>74</v>
      </c>
      <c r="M734" s="1" t="s">
        <v>74</v>
      </c>
      <c r="N734" s="1" t="s">
        <v>74</v>
      </c>
      <c r="O734" s="1" t="s">
        <v>74</v>
      </c>
      <c r="P734" s="1" t="s">
        <v>74</v>
      </c>
      <c r="Q734" s="1" t="s">
        <v>74</v>
      </c>
      <c r="R734" s="1" t="s">
        <v>74</v>
      </c>
      <c r="S734" s="1" t="s">
        <v>74</v>
      </c>
      <c r="T734" s="1" t="s">
        <v>74</v>
      </c>
      <c r="U734" s="1" t="s">
        <v>74</v>
      </c>
      <c r="V734" s="1" t="s">
        <v>7422</v>
      </c>
      <c r="W734" s="1" t="s">
        <v>74</v>
      </c>
      <c r="X734" s="1" t="s">
        <v>74</v>
      </c>
      <c r="Y734" s="1" t="s">
        <v>74</v>
      </c>
      <c r="Z734" s="1" t="s">
        <v>74</v>
      </c>
      <c r="AA734" s="1" t="s">
        <v>7423</v>
      </c>
      <c r="AB734" s="1" t="s">
        <v>7424</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7425</v>
      </c>
      <c r="AP734" s="1" t="s">
        <v>74</v>
      </c>
      <c r="AQ734" s="1" t="s">
        <v>74</v>
      </c>
      <c r="AR734" s="1" t="s">
        <v>74</v>
      </c>
      <c r="AS734" s="1" t="s">
        <v>74</v>
      </c>
      <c r="AT734" s="1" t="s">
        <v>7426</v>
      </c>
      <c r="AU734" s="1">
        <v>2014.0</v>
      </c>
      <c r="AV734" s="1">
        <v>15.0</v>
      </c>
      <c r="AW734" s="1" t="s">
        <v>74</v>
      </c>
      <c r="AX734" s="1" t="s">
        <v>74</v>
      </c>
      <c r="AY734" s="1" t="s">
        <v>74</v>
      </c>
      <c r="AZ734" s="1" t="s">
        <v>74</v>
      </c>
      <c r="BA734" s="1" t="s">
        <v>74</v>
      </c>
      <c r="BB734" s="1" t="s">
        <v>74</v>
      </c>
      <c r="BC734" s="1" t="s">
        <v>74</v>
      </c>
      <c r="BD734" s="1">
        <v>1099.0</v>
      </c>
      <c r="BE734" s="1" t="s">
        <v>7427</v>
      </c>
      <c r="BF734" s="2" t="str">
        <f>HYPERLINK("http://dx.doi.org/10.1186/1471-2164-15-1099","http://dx.doi.org/10.1186/1471-2164-15-1099")</f>
        <v>http://dx.doi.org/10.1186/1471-2164-15-1099</v>
      </c>
      <c r="BG734" s="1" t="s">
        <v>74</v>
      </c>
      <c r="BH734" s="1" t="s">
        <v>74</v>
      </c>
      <c r="BI734" s="1" t="s">
        <v>74</v>
      </c>
      <c r="BJ734" s="1" t="s">
        <v>74</v>
      </c>
      <c r="BK734" s="1" t="s">
        <v>74</v>
      </c>
      <c r="BL734" s="1" t="s">
        <v>74</v>
      </c>
      <c r="BM734" s="1" t="s">
        <v>74</v>
      </c>
      <c r="BN734" s="1">
        <v>2.5496196E7</v>
      </c>
      <c r="BO734" s="1" t="s">
        <v>74</v>
      </c>
      <c r="BP734" s="1" t="s">
        <v>74</v>
      </c>
      <c r="BQ734" s="1" t="s">
        <v>74</v>
      </c>
      <c r="BR734" s="1" t="s">
        <v>74</v>
      </c>
      <c r="BS734" s="1" t="s">
        <v>7428</v>
      </c>
      <c r="BT734" s="1" t="str">
        <f>HYPERLINK("https%3A%2F%2Fwww.webofscience.com%2Fwos%2Fwoscc%2Ffull-record%2FWOS:000346672000001","View Full Record in Web of Science")</f>
        <v>View Full Record in Web of Science</v>
      </c>
    </row>
    <row r="735" ht="12.75" customHeight="1">
      <c r="A735" s="1" t="s">
        <v>72</v>
      </c>
      <c r="B735" s="1" t="s">
        <v>7429</v>
      </c>
      <c r="C735" s="1" t="s">
        <v>74</v>
      </c>
      <c r="D735" s="1" t="s">
        <v>74</v>
      </c>
      <c r="E735" s="1" t="s">
        <v>74</v>
      </c>
      <c r="F735" s="1" t="s">
        <v>7430</v>
      </c>
      <c r="G735" s="1" t="s">
        <v>74</v>
      </c>
      <c r="H735" s="1" t="s">
        <v>74</v>
      </c>
      <c r="I735" s="1" t="s">
        <v>7431</v>
      </c>
      <c r="J735" s="1" t="s">
        <v>480</v>
      </c>
      <c r="K735" s="1" t="s">
        <v>74</v>
      </c>
      <c r="L735" s="1" t="s">
        <v>74</v>
      </c>
      <c r="M735" s="1" t="s">
        <v>74</v>
      </c>
      <c r="N735" s="1" t="s">
        <v>74</v>
      </c>
      <c r="O735" s="1" t="s">
        <v>74</v>
      </c>
      <c r="P735" s="1" t="s">
        <v>74</v>
      </c>
      <c r="Q735" s="1" t="s">
        <v>74</v>
      </c>
      <c r="R735" s="1" t="s">
        <v>74</v>
      </c>
      <c r="S735" s="1" t="s">
        <v>74</v>
      </c>
      <c r="T735" s="1" t="s">
        <v>74</v>
      </c>
      <c r="U735" s="1" t="s">
        <v>74</v>
      </c>
      <c r="V735" s="1" t="s">
        <v>7432</v>
      </c>
      <c r="W735" s="1" t="s">
        <v>74</v>
      </c>
      <c r="X735" s="1" t="s">
        <v>74</v>
      </c>
      <c r="Y735" s="1" t="s">
        <v>74</v>
      </c>
      <c r="Z735" s="1" t="s">
        <v>74</v>
      </c>
      <c r="AA735" s="1" t="s">
        <v>7433</v>
      </c>
      <c r="AB735" s="1" t="s">
        <v>7434</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484</v>
      </c>
      <c r="AP735" s="1" t="s">
        <v>74</v>
      </c>
      <c r="AQ735" s="1" t="s">
        <v>74</v>
      </c>
      <c r="AR735" s="1" t="s">
        <v>74</v>
      </c>
      <c r="AS735" s="1" t="s">
        <v>74</v>
      </c>
      <c r="AT735" s="1" t="s">
        <v>7435</v>
      </c>
      <c r="AU735" s="1">
        <v>2021.0</v>
      </c>
      <c r="AV735" s="1">
        <v>11.0</v>
      </c>
      <c r="AW735" s="1">
        <v>1.0</v>
      </c>
      <c r="AX735" s="1" t="s">
        <v>74</v>
      </c>
      <c r="AY735" s="1" t="s">
        <v>74</v>
      </c>
      <c r="AZ735" s="1" t="s">
        <v>74</v>
      </c>
      <c r="BA735" s="1" t="s">
        <v>74</v>
      </c>
      <c r="BB735" s="1" t="s">
        <v>74</v>
      </c>
      <c r="BC735" s="1" t="s">
        <v>74</v>
      </c>
      <c r="BD735" s="1">
        <v>15500.0</v>
      </c>
      <c r="BE735" s="1" t="s">
        <v>7436</v>
      </c>
      <c r="BF735" s="2" t="str">
        <f>HYPERLINK("http://dx.doi.org/10.1038/s41598-021-94974-z","http://dx.doi.org/10.1038/s41598-021-94974-z")</f>
        <v>http://dx.doi.org/10.1038/s41598-021-94974-z</v>
      </c>
      <c r="BG735" s="1" t="s">
        <v>74</v>
      </c>
      <c r="BH735" s="1" t="s">
        <v>74</v>
      </c>
      <c r="BI735" s="1" t="s">
        <v>74</v>
      </c>
      <c r="BJ735" s="1" t="s">
        <v>74</v>
      </c>
      <c r="BK735" s="1" t="s">
        <v>74</v>
      </c>
      <c r="BL735" s="1" t="s">
        <v>74</v>
      </c>
      <c r="BM735" s="1" t="s">
        <v>74</v>
      </c>
      <c r="BN735" s="1">
        <v>3.4326435E7</v>
      </c>
      <c r="BO735" s="1" t="s">
        <v>74</v>
      </c>
      <c r="BP735" s="1" t="s">
        <v>74</v>
      </c>
      <c r="BQ735" s="1" t="s">
        <v>74</v>
      </c>
      <c r="BR735" s="1" t="s">
        <v>74</v>
      </c>
      <c r="BS735" s="1" t="s">
        <v>7437</v>
      </c>
      <c r="BT735" s="1" t="str">
        <f>HYPERLINK("https%3A%2F%2Fwww.webofscience.com%2Fwos%2Fwoscc%2Ffull-record%2FWOS:000681066000091","View Full Record in Web of Science")</f>
        <v>View Full Record in Web of Science</v>
      </c>
    </row>
    <row r="736" ht="12.75" customHeight="1">
      <c r="A736" s="1" t="s">
        <v>72</v>
      </c>
      <c r="B736" s="1" t="s">
        <v>7438</v>
      </c>
      <c r="C736" s="1" t="s">
        <v>74</v>
      </c>
      <c r="D736" s="1" t="s">
        <v>74</v>
      </c>
      <c r="E736" s="1" t="s">
        <v>74</v>
      </c>
      <c r="F736" s="1" t="s">
        <v>7439</v>
      </c>
      <c r="G736" s="1" t="s">
        <v>74</v>
      </c>
      <c r="H736" s="1" t="s">
        <v>74</v>
      </c>
      <c r="I736" s="1" t="s">
        <v>7440</v>
      </c>
      <c r="J736" s="1" t="s">
        <v>7441</v>
      </c>
      <c r="K736" s="1" t="s">
        <v>74</v>
      </c>
      <c r="L736" s="1" t="s">
        <v>74</v>
      </c>
      <c r="M736" s="1" t="s">
        <v>74</v>
      </c>
      <c r="N736" s="1" t="s">
        <v>74</v>
      </c>
      <c r="O736" s="1" t="s">
        <v>74</v>
      </c>
      <c r="P736" s="1" t="s">
        <v>74</v>
      </c>
      <c r="Q736" s="1" t="s">
        <v>74</v>
      </c>
      <c r="R736" s="1" t="s">
        <v>74</v>
      </c>
      <c r="S736" s="1" t="s">
        <v>74</v>
      </c>
      <c r="T736" s="1" t="s">
        <v>74</v>
      </c>
      <c r="U736" s="1" t="s">
        <v>74</v>
      </c>
      <c r="V736" s="1" t="s">
        <v>7442</v>
      </c>
      <c r="W736" s="1" t="s">
        <v>74</v>
      </c>
      <c r="X736" s="1" t="s">
        <v>74</v>
      </c>
      <c r="Y736" s="1" t="s">
        <v>74</v>
      </c>
      <c r="Z736" s="1" t="s">
        <v>74</v>
      </c>
      <c r="AA736" s="1" t="s">
        <v>7443</v>
      </c>
      <c r="AB736" s="1" t="s">
        <v>7444</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7445</v>
      </c>
      <c r="AP736" s="1" t="s">
        <v>7446</v>
      </c>
      <c r="AQ736" s="1" t="s">
        <v>74</v>
      </c>
      <c r="AR736" s="1" t="s">
        <v>74</v>
      </c>
      <c r="AS736" s="1" t="s">
        <v>74</v>
      </c>
      <c r="AT736" s="1" t="s">
        <v>5747</v>
      </c>
      <c r="AU736" s="1">
        <v>2020.0</v>
      </c>
      <c r="AV736" s="1">
        <v>16.0</v>
      </c>
      <c r="AW736" s="1">
        <v>7.0</v>
      </c>
      <c r="AX736" s="1" t="s">
        <v>74</v>
      </c>
      <c r="AY736" s="1" t="s">
        <v>74</v>
      </c>
      <c r="AZ736" s="1" t="s">
        <v>74</v>
      </c>
      <c r="BA736" s="1" t="s">
        <v>74</v>
      </c>
      <c r="BB736" s="1">
        <v>4454.0</v>
      </c>
      <c r="BC736" s="1">
        <v>4469.0</v>
      </c>
      <c r="BD736" s="1" t="s">
        <v>74</v>
      </c>
      <c r="BE736" s="1" t="s">
        <v>7447</v>
      </c>
      <c r="BF736" s="2" t="str">
        <f>HYPERLINK("http://dx.doi.org/10.1021/acs.jctc.9b01217","http://dx.doi.org/10.1021/acs.jctc.9b01217")</f>
        <v>http://dx.doi.org/10.1021/acs.jctc.9b01217</v>
      </c>
      <c r="BG736" s="1" t="s">
        <v>74</v>
      </c>
      <c r="BH736" s="1" t="s">
        <v>74</v>
      </c>
      <c r="BI736" s="1" t="s">
        <v>74</v>
      </c>
      <c r="BJ736" s="1" t="s">
        <v>74</v>
      </c>
      <c r="BK736" s="1" t="s">
        <v>74</v>
      </c>
      <c r="BL736" s="1" t="s">
        <v>74</v>
      </c>
      <c r="BM736" s="1" t="s">
        <v>74</v>
      </c>
      <c r="BN736" s="1">
        <v>3.2511909E7</v>
      </c>
      <c r="BO736" s="1" t="s">
        <v>74</v>
      </c>
      <c r="BP736" s="1" t="s">
        <v>74</v>
      </c>
      <c r="BQ736" s="1" t="s">
        <v>74</v>
      </c>
      <c r="BR736" s="1" t="s">
        <v>74</v>
      </c>
      <c r="BS736" s="1" t="s">
        <v>7448</v>
      </c>
      <c r="BT736" s="1" t="str">
        <f>HYPERLINK("https%3A%2F%2Fwww.webofscience.com%2Fwos%2Fwoscc%2Ffull-record%2FWOS:000607532300039","View Full Record in Web of Science")</f>
        <v>View Full Record in Web of Science</v>
      </c>
    </row>
    <row r="737" ht="12.75" customHeight="1">
      <c r="A737" s="1" t="s">
        <v>72</v>
      </c>
      <c r="B737" s="1" t="s">
        <v>7449</v>
      </c>
      <c r="C737" s="1" t="s">
        <v>74</v>
      </c>
      <c r="D737" s="1" t="s">
        <v>74</v>
      </c>
      <c r="E737" s="1" t="s">
        <v>74</v>
      </c>
      <c r="F737" s="1" t="s">
        <v>7450</v>
      </c>
      <c r="G737" s="1" t="s">
        <v>74</v>
      </c>
      <c r="H737" s="1" t="s">
        <v>74</v>
      </c>
      <c r="I737" s="1" t="s">
        <v>7451</v>
      </c>
      <c r="J737" s="1" t="s">
        <v>2006</v>
      </c>
      <c r="K737" s="1" t="s">
        <v>74</v>
      </c>
      <c r="L737" s="1" t="s">
        <v>74</v>
      </c>
      <c r="M737" s="1" t="s">
        <v>74</v>
      </c>
      <c r="N737" s="1" t="s">
        <v>74</v>
      </c>
      <c r="O737" s="1" t="s">
        <v>74</v>
      </c>
      <c r="P737" s="1" t="s">
        <v>74</v>
      </c>
      <c r="Q737" s="1" t="s">
        <v>74</v>
      </c>
      <c r="R737" s="1" t="s">
        <v>74</v>
      </c>
      <c r="S737" s="1" t="s">
        <v>74</v>
      </c>
      <c r="T737" s="1" t="s">
        <v>74</v>
      </c>
      <c r="U737" s="1" t="s">
        <v>74</v>
      </c>
      <c r="V737" s="1" t="s">
        <v>7452</v>
      </c>
      <c r="W737" s="1" t="s">
        <v>74</v>
      </c>
      <c r="X737" s="1" t="s">
        <v>74</v>
      </c>
      <c r="Y737" s="1" t="s">
        <v>74</v>
      </c>
      <c r="Z737" s="1" t="s">
        <v>74</v>
      </c>
      <c r="AA737" s="1" t="s">
        <v>74</v>
      </c>
      <c r="AB737" s="1" t="s">
        <v>74</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2009</v>
      </c>
      <c r="AP737" s="1" t="s">
        <v>74</v>
      </c>
      <c r="AQ737" s="1" t="s">
        <v>74</v>
      </c>
      <c r="AR737" s="1" t="s">
        <v>74</v>
      </c>
      <c r="AS737" s="1" t="s">
        <v>74</v>
      </c>
      <c r="AT737" s="1" t="s">
        <v>346</v>
      </c>
      <c r="AU737" s="1">
        <v>2019.0</v>
      </c>
      <c r="AV737" s="1">
        <v>44.0</v>
      </c>
      <c r="AW737" s="1">
        <v>3.0</v>
      </c>
      <c r="AX737" s="1" t="s">
        <v>74</v>
      </c>
      <c r="AY737" s="1" t="s">
        <v>74</v>
      </c>
      <c r="AZ737" s="1" t="s">
        <v>74</v>
      </c>
      <c r="BA737" s="1" t="s">
        <v>74</v>
      </c>
      <c r="BB737" s="1">
        <v>145.0</v>
      </c>
      <c r="BC737" s="1">
        <v>151.0</v>
      </c>
      <c r="BD737" s="1" t="s">
        <v>74</v>
      </c>
      <c r="BE737" s="1" t="s">
        <v>74</v>
      </c>
      <c r="BF737" s="1" t="s">
        <v>74</v>
      </c>
      <c r="BG737" s="1" t="s">
        <v>74</v>
      </c>
      <c r="BH737" s="1" t="s">
        <v>74</v>
      </c>
      <c r="BI737" s="1" t="s">
        <v>74</v>
      </c>
      <c r="BJ737" s="1" t="s">
        <v>74</v>
      </c>
      <c r="BK737" s="1" t="s">
        <v>74</v>
      </c>
      <c r="BL737" s="1" t="s">
        <v>74</v>
      </c>
      <c r="BM737" s="1" t="s">
        <v>74</v>
      </c>
      <c r="BN737" s="1" t="s">
        <v>74</v>
      </c>
      <c r="BO737" s="1" t="s">
        <v>74</v>
      </c>
      <c r="BP737" s="1" t="s">
        <v>74</v>
      </c>
      <c r="BQ737" s="1" t="s">
        <v>74</v>
      </c>
      <c r="BR737" s="1" t="s">
        <v>74</v>
      </c>
      <c r="BS737" s="1" t="s">
        <v>7453</v>
      </c>
      <c r="BT737" s="1" t="str">
        <f>HYPERLINK("https%3A%2F%2Fwww.webofscience.com%2Fwos%2Fwoscc%2Ffull-record%2FWOS:000464683100005","View Full Record in Web of Science")</f>
        <v>View Full Record in Web of Science</v>
      </c>
    </row>
    <row r="738" ht="12.75" customHeight="1">
      <c r="A738" s="1" t="s">
        <v>72</v>
      </c>
      <c r="B738" s="1" t="s">
        <v>7454</v>
      </c>
      <c r="C738" s="1" t="s">
        <v>74</v>
      </c>
      <c r="D738" s="1" t="s">
        <v>74</v>
      </c>
      <c r="E738" s="1" t="s">
        <v>74</v>
      </c>
      <c r="F738" s="1" t="s">
        <v>7455</v>
      </c>
      <c r="G738" s="1" t="s">
        <v>74</v>
      </c>
      <c r="H738" s="1" t="s">
        <v>74</v>
      </c>
      <c r="I738" s="1" t="s">
        <v>7456</v>
      </c>
      <c r="J738" s="1" t="s">
        <v>7457</v>
      </c>
      <c r="K738" s="1" t="s">
        <v>74</v>
      </c>
      <c r="L738" s="1" t="s">
        <v>74</v>
      </c>
      <c r="M738" s="1" t="s">
        <v>74</v>
      </c>
      <c r="N738" s="1" t="s">
        <v>74</v>
      </c>
      <c r="O738" s="1" t="s">
        <v>74</v>
      </c>
      <c r="P738" s="1" t="s">
        <v>74</v>
      </c>
      <c r="Q738" s="1" t="s">
        <v>74</v>
      </c>
      <c r="R738" s="1" t="s">
        <v>74</v>
      </c>
      <c r="S738" s="1" t="s">
        <v>74</v>
      </c>
      <c r="T738" s="1" t="s">
        <v>74</v>
      </c>
      <c r="U738" s="1" t="s">
        <v>74</v>
      </c>
      <c r="V738" s="1" t="s">
        <v>7458</v>
      </c>
      <c r="W738" s="1" t="s">
        <v>74</v>
      </c>
      <c r="X738" s="1" t="s">
        <v>74</v>
      </c>
      <c r="Y738" s="1" t="s">
        <v>74</v>
      </c>
      <c r="Z738" s="1" t="s">
        <v>74</v>
      </c>
      <c r="AA738" s="1" t="s">
        <v>7459</v>
      </c>
      <c r="AB738" s="1" t="s">
        <v>7460</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7461</v>
      </c>
      <c r="AP738" s="1" t="s">
        <v>7462</v>
      </c>
      <c r="AQ738" s="1" t="s">
        <v>74</v>
      </c>
      <c r="AR738" s="1" t="s">
        <v>74</v>
      </c>
      <c r="AS738" s="1" t="s">
        <v>74</v>
      </c>
      <c r="AT738" s="1" t="s">
        <v>106</v>
      </c>
      <c r="AU738" s="1">
        <v>2012.0</v>
      </c>
      <c r="AV738" s="1">
        <v>33.0</v>
      </c>
      <c r="AW738" s="1">
        <v>11.0</v>
      </c>
      <c r="AX738" s="1" t="s">
        <v>74</v>
      </c>
      <c r="AY738" s="1" t="s">
        <v>74</v>
      </c>
      <c r="AZ738" s="1" t="s">
        <v>74</v>
      </c>
      <c r="BA738" s="1" t="s">
        <v>74</v>
      </c>
      <c r="BB738" s="1">
        <v>933.0</v>
      </c>
      <c r="BC738" s="1">
        <v>941.0</v>
      </c>
      <c r="BD738" s="1" t="s">
        <v>74</v>
      </c>
      <c r="BE738" s="1" t="s">
        <v>7463</v>
      </c>
      <c r="BF738" s="2" t="str">
        <f>HYPERLINK("http://dx.doi.org/10.1016/j.placenta.2012.08.004","http://dx.doi.org/10.1016/j.placenta.2012.08.004")</f>
        <v>http://dx.doi.org/10.1016/j.placenta.2012.08.004</v>
      </c>
      <c r="BG738" s="1" t="s">
        <v>74</v>
      </c>
      <c r="BH738" s="1" t="s">
        <v>74</v>
      </c>
      <c r="BI738" s="1" t="s">
        <v>74</v>
      </c>
      <c r="BJ738" s="1" t="s">
        <v>74</v>
      </c>
      <c r="BK738" s="1" t="s">
        <v>74</v>
      </c>
      <c r="BL738" s="1" t="s">
        <v>74</v>
      </c>
      <c r="BM738" s="1" t="s">
        <v>74</v>
      </c>
      <c r="BN738" s="1">
        <v>2.2999499E7</v>
      </c>
      <c r="BO738" s="1" t="s">
        <v>74</v>
      </c>
      <c r="BP738" s="1" t="s">
        <v>74</v>
      </c>
      <c r="BQ738" s="1" t="s">
        <v>74</v>
      </c>
      <c r="BR738" s="1" t="s">
        <v>74</v>
      </c>
      <c r="BS738" s="1" t="s">
        <v>7464</v>
      </c>
      <c r="BT738" s="1" t="str">
        <f>HYPERLINK("https%3A%2F%2Fwww.webofscience.com%2Fwos%2Fwoscc%2Ffull-record%2FWOS:000310822300007","View Full Record in Web of Science")</f>
        <v>View Full Record in Web of Science</v>
      </c>
    </row>
    <row r="739" ht="12.75" customHeight="1">
      <c r="A739" s="1" t="s">
        <v>72</v>
      </c>
      <c r="B739" s="1" t="s">
        <v>7465</v>
      </c>
      <c r="C739" s="1" t="s">
        <v>74</v>
      </c>
      <c r="D739" s="1" t="s">
        <v>74</v>
      </c>
      <c r="E739" s="1" t="s">
        <v>74</v>
      </c>
      <c r="F739" s="1" t="s">
        <v>7466</v>
      </c>
      <c r="G739" s="1" t="s">
        <v>74</v>
      </c>
      <c r="H739" s="1" t="s">
        <v>74</v>
      </c>
      <c r="I739" s="1" t="s">
        <v>7467</v>
      </c>
      <c r="J739" s="1" t="s">
        <v>7468</v>
      </c>
      <c r="K739" s="1" t="s">
        <v>74</v>
      </c>
      <c r="L739" s="1" t="s">
        <v>74</v>
      </c>
      <c r="M739" s="1" t="s">
        <v>74</v>
      </c>
      <c r="N739" s="1" t="s">
        <v>74</v>
      </c>
      <c r="O739" s="1" t="s">
        <v>74</v>
      </c>
      <c r="P739" s="1" t="s">
        <v>74</v>
      </c>
      <c r="Q739" s="1" t="s">
        <v>74</v>
      </c>
      <c r="R739" s="1" t="s">
        <v>74</v>
      </c>
      <c r="S739" s="1" t="s">
        <v>74</v>
      </c>
      <c r="T739" s="1" t="s">
        <v>74</v>
      </c>
      <c r="U739" s="1" t="s">
        <v>74</v>
      </c>
      <c r="V739" s="1" t="s">
        <v>7469</v>
      </c>
      <c r="W739" s="1" t="s">
        <v>74</v>
      </c>
      <c r="X739" s="1" t="s">
        <v>74</v>
      </c>
      <c r="Y739" s="1" t="s">
        <v>74</v>
      </c>
      <c r="Z739" s="1" t="s">
        <v>74</v>
      </c>
      <c r="AA739" s="1" t="s">
        <v>7470</v>
      </c>
      <c r="AB739" s="1" t="s">
        <v>7471</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74</v>
      </c>
      <c r="AP739" s="1" t="s">
        <v>7472</v>
      </c>
      <c r="AQ739" s="1" t="s">
        <v>74</v>
      </c>
      <c r="AR739" s="1" t="s">
        <v>74</v>
      </c>
      <c r="AS739" s="1" t="s">
        <v>74</v>
      </c>
      <c r="AT739" s="1" t="s">
        <v>82</v>
      </c>
      <c r="AU739" s="1">
        <v>2023.0</v>
      </c>
      <c r="AV739" s="1">
        <v>23.0</v>
      </c>
      <c r="AW739" s="1">
        <v>1.0</v>
      </c>
      <c r="AX739" s="1" t="s">
        <v>74</v>
      </c>
      <c r="AY739" s="1" t="s">
        <v>74</v>
      </c>
      <c r="AZ739" s="1" t="s">
        <v>74</v>
      </c>
      <c r="BA739" s="1" t="s">
        <v>74</v>
      </c>
      <c r="BB739" s="1" t="s">
        <v>74</v>
      </c>
      <c r="BC739" s="1" t="s">
        <v>74</v>
      </c>
      <c r="BD739" s="1">
        <v>1507.0</v>
      </c>
      <c r="BE739" s="1" t="s">
        <v>7473</v>
      </c>
      <c r="BF739" s="2" t="str">
        <f>HYPERLINK("http://dx.doi.org/10.1186/s12889-023-16467-0","http://dx.doi.org/10.1186/s12889-023-16467-0")</f>
        <v>http://dx.doi.org/10.1186/s12889-023-16467-0</v>
      </c>
      <c r="BG739" s="1" t="s">
        <v>74</v>
      </c>
      <c r="BH739" s="1" t="s">
        <v>74</v>
      </c>
      <c r="BI739" s="1" t="s">
        <v>74</v>
      </c>
      <c r="BJ739" s="1" t="s">
        <v>74</v>
      </c>
      <c r="BK739" s="1" t="s">
        <v>74</v>
      </c>
      <c r="BL739" s="1" t="s">
        <v>74</v>
      </c>
      <c r="BM739" s="1" t="s">
        <v>74</v>
      </c>
      <c r="BN739" s="1">
        <v>3.7559052E7</v>
      </c>
      <c r="BO739" s="1" t="s">
        <v>74</v>
      </c>
      <c r="BP739" s="1" t="s">
        <v>74</v>
      </c>
      <c r="BQ739" s="1" t="s">
        <v>74</v>
      </c>
      <c r="BR739" s="1" t="s">
        <v>74</v>
      </c>
      <c r="BS739" s="1" t="s">
        <v>7474</v>
      </c>
      <c r="BT739" s="1" t="str">
        <f>HYPERLINK("https%3A%2F%2Fwww.webofscience.com%2Fwos%2Fwoscc%2Ffull-record%2FWOS:001044403900004","View Full Record in Web of Science")</f>
        <v>View Full Record in Web of Science</v>
      </c>
    </row>
    <row r="740" ht="12.75" customHeight="1">
      <c r="A740" s="1" t="s">
        <v>72</v>
      </c>
      <c r="B740" s="1" t="s">
        <v>7475</v>
      </c>
      <c r="C740" s="1" t="s">
        <v>74</v>
      </c>
      <c r="D740" s="1" t="s">
        <v>74</v>
      </c>
      <c r="E740" s="1" t="s">
        <v>74</v>
      </c>
      <c r="F740" s="1" t="s">
        <v>7476</v>
      </c>
      <c r="G740" s="1" t="s">
        <v>74</v>
      </c>
      <c r="H740" s="1" t="s">
        <v>74</v>
      </c>
      <c r="I740" s="1" t="s">
        <v>7477</v>
      </c>
      <c r="J740" s="1" t="s">
        <v>7478</v>
      </c>
      <c r="K740" s="1" t="s">
        <v>74</v>
      </c>
      <c r="L740" s="1" t="s">
        <v>74</v>
      </c>
      <c r="M740" s="1" t="s">
        <v>74</v>
      </c>
      <c r="N740" s="1" t="s">
        <v>74</v>
      </c>
      <c r="O740" s="1" t="s">
        <v>74</v>
      </c>
      <c r="P740" s="1" t="s">
        <v>74</v>
      </c>
      <c r="Q740" s="1" t="s">
        <v>74</v>
      </c>
      <c r="R740" s="1" t="s">
        <v>74</v>
      </c>
      <c r="S740" s="1" t="s">
        <v>74</v>
      </c>
      <c r="T740" s="1" t="s">
        <v>74</v>
      </c>
      <c r="U740" s="1" t="s">
        <v>74</v>
      </c>
      <c r="V740" s="1" t="s">
        <v>7479</v>
      </c>
      <c r="W740" s="1" t="s">
        <v>74</v>
      </c>
      <c r="X740" s="1" t="s">
        <v>74</v>
      </c>
      <c r="Y740" s="1" t="s">
        <v>74</v>
      </c>
      <c r="Z740" s="1" t="s">
        <v>74</v>
      </c>
      <c r="AA740" s="1" t="s">
        <v>7480</v>
      </c>
      <c r="AB740" s="1" t="s">
        <v>7481</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7482</v>
      </c>
      <c r="AP740" s="1" t="s">
        <v>74</v>
      </c>
      <c r="AQ740" s="1" t="s">
        <v>74</v>
      </c>
      <c r="AR740" s="1" t="s">
        <v>74</v>
      </c>
      <c r="AS740" s="1" t="s">
        <v>74</v>
      </c>
      <c r="AT740" s="1" t="s">
        <v>2705</v>
      </c>
      <c r="AU740" s="1">
        <v>2021.0</v>
      </c>
      <c r="AV740" s="1">
        <v>15.0</v>
      </c>
      <c r="AW740" s="1" t="s">
        <v>74</v>
      </c>
      <c r="AX740" s="1" t="s">
        <v>74</v>
      </c>
      <c r="AY740" s="1" t="s">
        <v>74</v>
      </c>
      <c r="AZ740" s="1" t="s">
        <v>74</v>
      </c>
      <c r="BA740" s="1" t="s">
        <v>74</v>
      </c>
      <c r="BB740" s="1" t="s">
        <v>74</v>
      </c>
      <c r="BC740" s="1" t="s">
        <v>74</v>
      </c>
      <c r="BD740" s="1">
        <v>746197.0</v>
      </c>
      <c r="BE740" s="1" t="s">
        <v>7483</v>
      </c>
      <c r="BF740" s="2" t="str">
        <f>HYPERLINK("http://dx.doi.org/10.3389/fnbeh.2021.746197","http://dx.doi.org/10.3389/fnbeh.2021.746197")</f>
        <v>http://dx.doi.org/10.3389/fnbeh.2021.746197</v>
      </c>
      <c r="BG740" s="1" t="s">
        <v>74</v>
      </c>
      <c r="BH740" s="1" t="s">
        <v>74</v>
      </c>
      <c r="BI740" s="1" t="s">
        <v>74</v>
      </c>
      <c r="BJ740" s="1" t="s">
        <v>74</v>
      </c>
      <c r="BK740" s="1" t="s">
        <v>74</v>
      </c>
      <c r="BL740" s="1" t="s">
        <v>74</v>
      </c>
      <c r="BM740" s="1" t="s">
        <v>74</v>
      </c>
      <c r="BN740" s="1">
        <v>3.4566598E7</v>
      </c>
      <c r="BO740" s="1" t="s">
        <v>74</v>
      </c>
      <c r="BP740" s="1" t="s">
        <v>74</v>
      </c>
      <c r="BQ740" s="1" t="s">
        <v>74</v>
      </c>
      <c r="BR740" s="1" t="s">
        <v>74</v>
      </c>
      <c r="BS740" s="1" t="s">
        <v>7484</v>
      </c>
      <c r="BT740" s="1" t="str">
        <f>HYPERLINK("https%3A%2F%2Fwww.webofscience.com%2Fwos%2Fwoscc%2Ffull-record%2FWOS:000698031800001","View Full Record in Web of Science")</f>
        <v>View Full Record in Web of Science</v>
      </c>
    </row>
    <row r="741" ht="12.75" customHeight="1">
      <c r="A741" s="1" t="s">
        <v>72</v>
      </c>
      <c r="B741" s="1" t="s">
        <v>7485</v>
      </c>
      <c r="C741" s="1" t="s">
        <v>74</v>
      </c>
      <c r="D741" s="1" t="s">
        <v>74</v>
      </c>
      <c r="E741" s="1" t="s">
        <v>74</v>
      </c>
      <c r="F741" s="1" t="s">
        <v>7486</v>
      </c>
      <c r="G741" s="1" t="s">
        <v>74</v>
      </c>
      <c r="H741" s="1" t="s">
        <v>74</v>
      </c>
      <c r="I741" s="1" t="s">
        <v>7487</v>
      </c>
      <c r="J741" s="1" t="s">
        <v>1024</v>
      </c>
      <c r="K741" s="1" t="s">
        <v>74</v>
      </c>
      <c r="L741" s="1" t="s">
        <v>74</v>
      </c>
      <c r="M741" s="1" t="s">
        <v>74</v>
      </c>
      <c r="N741" s="1" t="s">
        <v>74</v>
      </c>
      <c r="O741" s="1" t="s">
        <v>74</v>
      </c>
      <c r="P741" s="1" t="s">
        <v>74</v>
      </c>
      <c r="Q741" s="1" t="s">
        <v>74</v>
      </c>
      <c r="R741" s="1" t="s">
        <v>74</v>
      </c>
      <c r="S741" s="1" t="s">
        <v>74</v>
      </c>
      <c r="T741" s="1" t="s">
        <v>74</v>
      </c>
      <c r="U741" s="1" t="s">
        <v>74</v>
      </c>
      <c r="V741" s="1" t="s">
        <v>7488</v>
      </c>
      <c r="W741" s="1" t="s">
        <v>74</v>
      </c>
      <c r="X741" s="1" t="s">
        <v>74</v>
      </c>
      <c r="Y741" s="1" t="s">
        <v>74</v>
      </c>
      <c r="Z741" s="1" t="s">
        <v>74</v>
      </c>
      <c r="AA741" s="1" t="s">
        <v>7489</v>
      </c>
      <c r="AB741" s="1" t="s">
        <v>7490</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1028</v>
      </c>
      <c r="AP741" s="1" t="s">
        <v>1029</v>
      </c>
      <c r="AQ741" s="1" t="s">
        <v>74</v>
      </c>
      <c r="AR741" s="1" t="s">
        <v>74</v>
      </c>
      <c r="AS741" s="1" t="s">
        <v>74</v>
      </c>
      <c r="AT741" s="1" t="s">
        <v>202</v>
      </c>
      <c r="AU741" s="1">
        <v>2021.0</v>
      </c>
      <c r="AV741" s="1">
        <v>504.0</v>
      </c>
      <c r="AW741" s="1">
        <v>1.0</v>
      </c>
      <c r="AX741" s="1" t="s">
        <v>74</v>
      </c>
      <c r="AY741" s="1" t="s">
        <v>74</v>
      </c>
      <c r="AZ741" s="1" t="s">
        <v>74</v>
      </c>
      <c r="BA741" s="1" t="s">
        <v>74</v>
      </c>
      <c r="BB741" s="1">
        <v>782.0</v>
      </c>
      <c r="BC741" s="1">
        <v>791.0</v>
      </c>
      <c r="BD741" s="1" t="s">
        <v>74</v>
      </c>
      <c r="BE741" s="1" t="s">
        <v>7491</v>
      </c>
      <c r="BF741" s="2" t="str">
        <f>HYPERLINK("http://dx.doi.org/10.1093/mnras/stab800","http://dx.doi.org/10.1093/mnras/stab800")</f>
        <v>http://dx.doi.org/10.1093/mnras/stab800</v>
      </c>
      <c r="BG741" s="1" t="s">
        <v>74</v>
      </c>
      <c r="BH741" s="1" t="s">
        <v>241</v>
      </c>
      <c r="BI741" s="1" t="s">
        <v>74</v>
      </c>
      <c r="BJ741" s="1" t="s">
        <v>74</v>
      </c>
      <c r="BK741" s="1" t="s">
        <v>74</v>
      </c>
      <c r="BL741" s="1" t="s">
        <v>74</v>
      </c>
      <c r="BM741" s="1" t="s">
        <v>74</v>
      </c>
      <c r="BN741" s="1" t="s">
        <v>74</v>
      </c>
      <c r="BO741" s="1" t="s">
        <v>74</v>
      </c>
      <c r="BP741" s="1" t="s">
        <v>74</v>
      </c>
      <c r="BQ741" s="1" t="s">
        <v>74</v>
      </c>
      <c r="BR741" s="1" t="s">
        <v>74</v>
      </c>
      <c r="BS741" s="1" t="s">
        <v>7492</v>
      </c>
      <c r="BT741" s="1" t="str">
        <f>HYPERLINK("https%3A%2F%2Fwww.webofscience.com%2Fwos%2Fwoscc%2Ffull-record%2FWOS:000656137100056","View Full Record in Web of Science")</f>
        <v>View Full Record in Web of Science</v>
      </c>
    </row>
    <row r="742" ht="12.75" customHeight="1">
      <c r="A742" s="1" t="s">
        <v>72</v>
      </c>
      <c r="B742" s="1" t="s">
        <v>7493</v>
      </c>
      <c r="C742" s="1" t="s">
        <v>74</v>
      </c>
      <c r="D742" s="1" t="s">
        <v>74</v>
      </c>
      <c r="E742" s="1" t="s">
        <v>74</v>
      </c>
      <c r="F742" s="1" t="s">
        <v>7494</v>
      </c>
      <c r="G742" s="1" t="s">
        <v>74</v>
      </c>
      <c r="H742" s="1" t="s">
        <v>74</v>
      </c>
      <c r="I742" s="1" t="s">
        <v>7495</v>
      </c>
      <c r="J742" s="1" t="s">
        <v>6337</v>
      </c>
      <c r="K742" s="1" t="s">
        <v>74</v>
      </c>
      <c r="L742" s="1" t="s">
        <v>74</v>
      </c>
      <c r="M742" s="1" t="s">
        <v>74</v>
      </c>
      <c r="N742" s="1" t="s">
        <v>74</v>
      </c>
      <c r="O742" s="1" t="s">
        <v>74</v>
      </c>
      <c r="P742" s="1" t="s">
        <v>74</v>
      </c>
      <c r="Q742" s="1" t="s">
        <v>74</v>
      </c>
      <c r="R742" s="1" t="s">
        <v>74</v>
      </c>
      <c r="S742" s="1" t="s">
        <v>74</v>
      </c>
      <c r="T742" s="1" t="s">
        <v>74</v>
      </c>
      <c r="U742" s="1" t="s">
        <v>74</v>
      </c>
      <c r="V742" s="1" t="s">
        <v>7496</v>
      </c>
      <c r="W742" s="1" t="s">
        <v>74</v>
      </c>
      <c r="X742" s="1" t="s">
        <v>74</v>
      </c>
      <c r="Y742" s="1" t="s">
        <v>74</v>
      </c>
      <c r="Z742" s="1" t="s">
        <v>74</v>
      </c>
      <c r="AA742" s="1" t="s">
        <v>7497</v>
      </c>
      <c r="AB742" s="1" t="s">
        <v>7498</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74</v>
      </c>
      <c r="AP742" s="1" t="s">
        <v>6341</v>
      </c>
      <c r="AQ742" s="1" t="s">
        <v>74</v>
      </c>
      <c r="AR742" s="1" t="s">
        <v>74</v>
      </c>
      <c r="AS742" s="1" t="s">
        <v>74</v>
      </c>
      <c r="AT742" s="1" t="s">
        <v>745</v>
      </c>
      <c r="AU742" s="1">
        <v>2021.0</v>
      </c>
      <c r="AV742" s="1">
        <v>11.0</v>
      </c>
      <c r="AW742" s="1">
        <v>7.0</v>
      </c>
      <c r="AX742" s="1" t="s">
        <v>74</v>
      </c>
      <c r="AY742" s="1" t="s">
        <v>74</v>
      </c>
      <c r="AZ742" s="1" t="s">
        <v>74</v>
      </c>
      <c r="BA742" s="1" t="s">
        <v>74</v>
      </c>
      <c r="BB742" s="1" t="s">
        <v>74</v>
      </c>
      <c r="BC742" s="1" t="s">
        <v>74</v>
      </c>
      <c r="BD742" s="1">
        <v>887.0</v>
      </c>
      <c r="BE742" s="1" t="s">
        <v>7499</v>
      </c>
      <c r="BF742" s="2" t="str">
        <f>HYPERLINK("http://dx.doi.org/10.3390/brainsci11070887","http://dx.doi.org/10.3390/brainsci11070887")</f>
        <v>http://dx.doi.org/10.3390/brainsci11070887</v>
      </c>
      <c r="BG742" s="1" t="s">
        <v>74</v>
      </c>
      <c r="BH742" s="1" t="s">
        <v>74</v>
      </c>
      <c r="BI742" s="1" t="s">
        <v>74</v>
      </c>
      <c r="BJ742" s="1" t="s">
        <v>74</v>
      </c>
      <c r="BK742" s="1" t="s">
        <v>74</v>
      </c>
      <c r="BL742" s="1" t="s">
        <v>74</v>
      </c>
      <c r="BM742" s="1" t="s">
        <v>74</v>
      </c>
      <c r="BN742" s="1">
        <v>3.4356122E7</v>
      </c>
      <c r="BO742" s="1" t="s">
        <v>74</v>
      </c>
      <c r="BP742" s="1" t="s">
        <v>74</v>
      </c>
      <c r="BQ742" s="1" t="s">
        <v>74</v>
      </c>
      <c r="BR742" s="1" t="s">
        <v>74</v>
      </c>
      <c r="BS742" s="1" t="s">
        <v>7500</v>
      </c>
      <c r="BT742" s="1" t="str">
        <f>HYPERLINK("https%3A%2F%2Fwww.webofscience.com%2Fwos%2Fwoscc%2Ffull-record%2FWOS:000676269000001","View Full Record in Web of Science")</f>
        <v>View Full Record in Web of Science</v>
      </c>
    </row>
    <row r="743" ht="12.75" customHeight="1">
      <c r="A743" s="1" t="s">
        <v>72</v>
      </c>
      <c r="B743" s="1" t="s">
        <v>7501</v>
      </c>
      <c r="C743" s="1" t="s">
        <v>74</v>
      </c>
      <c r="D743" s="1" t="s">
        <v>74</v>
      </c>
      <c r="E743" s="1" t="s">
        <v>74</v>
      </c>
      <c r="F743" s="1" t="s">
        <v>7502</v>
      </c>
      <c r="G743" s="1" t="s">
        <v>74</v>
      </c>
      <c r="H743" s="1" t="s">
        <v>74</v>
      </c>
      <c r="I743" s="1" t="s">
        <v>7503</v>
      </c>
      <c r="J743" s="1" t="s">
        <v>1226</v>
      </c>
      <c r="K743" s="1" t="s">
        <v>74</v>
      </c>
      <c r="L743" s="1" t="s">
        <v>74</v>
      </c>
      <c r="M743" s="1" t="s">
        <v>74</v>
      </c>
      <c r="N743" s="1" t="s">
        <v>74</v>
      </c>
      <c r="O743" s="1" t="s">
        <v>74</v>
      </c>
      <c r="P743" s="1" t="s">
        <v>74</v>
      </c>
      <c r="Q743" s="1" t="s">
        <v>74</v>
      </c>
      <c r="R743" s="1" t="s">
        <v>74</v>
      </c>
      <c r="S743" s="1" t="s">
        <v>74</v>
      </c>
      <c r="T743" s="1" t="s">
        <v>74</v>
      </c>
      <c r="U743" s="1" t="s">
        <v>74</v>
      </c>
      <c r="V743" s="1" t="s">
        <v>7504</v>
      </c>
      <c r="W743" s="1" t="s">
        <v>74</v>
      </c>
      <c r="X743" s="1" t="s">
        <v>74</v>
      </c>
      <c r="Y743" s="1" t="s">
        <v>74</v>
      </c>
      <c r="Z743" s="1" t="s">
        <v>74</v>
      </c>
      <c r="AA743" s="1" t="s">
        <v>7505</v>
      </c>
      <c r="AB743" s="1" t="s">
        <v>7506</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1228</v>
      </c>
      <c r="AP743" s="1" t="s">
        <v>1229</v>
      </c>
      <c r="AQ743" s="1" t="s">
        <v>74</v>
      </c>
      <c r="AR743" s="1" t="s">
        <v>74</v>
      </c>
      <c r="AS743" s="1" t="s">
        <v>74</v>
      </c>
      <c r="AT743" s="1" t="s">
        <v>3342</v>
      </c>
      <c r="AU743" s="1">
        <v>2025.0</v>
      </c>
      <c r="AV743" s="1">
        <v>694.0</v>
      </c>
      <c r="AW743" s="1" t="s">
        <v>74</v>
      </c>
      <c r="AX743" s="1" t="s">
        <v>74</v>
      </c>
      <c r="AY743" s="1" t="s">
        <v>74</v>
      </c>
      <c r="AZ743" s="1" t="s">
        <v>74</v>
      </c>
      <c r="BA743" s="1" t="s">
        <v>74</v>
      </c>
      <c r="BB743" s="1" t="s">
        <v>74</v>
      </c>
      <c r="BC743" s="1" t="s">
        <v>74</v>
      </c>
      <c r="BD743" s="1" t="s">
        <v>7507</v>
      </c>
      <c r="BE743" s="1" t="s">
        <v>7508</v>
      </c>
      <c r="BF743" s="2" t="str">
        <f>HYPERLINK("http://dx.doi.org/10.1051/0004-6361/202452693","http://dx.doi.org/10.1051/0004-6361/202452693")</f>
        <v>http://dx.doi.org/10.1051/0004-6361/202452693</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7509</v>
      </c>
      <c r="BT743" s="1" t="str">
        <f>HYPERLINK("https%3A%2F%2Fwww.webofscience.com%2Fwos%2Fwoscc%2Ffull-record%2FWOS:001416104000019","View Full Record in Web of Science")</f>
        <v>View Full Record in Web of Science</v>
      </c>
    </row>
    <row r="744" ht="12.75" customHeight="1">
      <c r="A744" s="1" t="s">
        <v>72</v>
      </c>
      <c r="B744" s="1" t="s">
        <v>7510</v>
      </c>
      <c r="C744" s="1" t="s">
        <v>74</v>
      </c>
      <c r="D744" s="1" t="s">
        <v>74</v>
      </c>
      <c r="E744" s="1" t="s">
        <v>74</v>
      </c>
      <c r="F744" s="1" t="s">
        <v>7511</v>
      </c>
      <c r="G744" s="1" t="s">
        <v>74</v>
      </c>
      <c r="H744" s="1" t="s">
        <v>74</v>
      </c>
      <c r="I744" s="1" t="s">
        <v>7512</v>
      </c>
      <c r="J744" s="1" t="s">
        <v>7513</v>
      </c>
      <c r="K744" s="1" t="s">
        <v>74</v>
      </c>
      <c r="L744" s="1" t="s">
        <v>74</v>
      </c>
      <c r="M744" s="1" t="s">
        <v>74</v>
      </c>
      <c r="N744" s="1" t="s">
        <v>74</v>
      </c>
      <c r="O744" s="1" t="s">
        <v>74</v>
      </c>
      <c r="P744" s="1" t="s">
        <v>74</v>
      </c>
      <c r="Q744" s="1" t="s">
        <v>74</v>
      </c>
      <c r="R744" s="1" t="s">
        <v>74</v>
      </c>
      <c r="S744" s="1" t="s">
        <v>74</v>
      </c>
      <c r="T744" s="1" t="s">
        <v>74</v>
      </c>
      <c r="U744" s="1" t="s">
        <v>74</v>
      </c>
      <c r="V744" s="1" t="s">
        <v>7514</v>
      </c>
      <c r="W744" s="1" t="s">
        <v>74</v>
      </c>
      <c r="X744" s="1" t="s">
        <v>74</v>
      </c>
      <c r="Y744" s="1" t="s">
        <v>74</v>
      </c>
      <c r="Z744" s="1" t="s">
        <v>74</v>
      </c>
      <c r="AA744" s="1" t="s">
        <v>7515</v>
      </c>
      <c r="AB744" s="1" t="s">
        <v>7516</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7517</v>
      </c>
      <c r="AP744" s="1" t="s">
        <v>74</v>
      </c>
      <c r="AQ744" s="1" t="s">
        <v>74</v>
      </c>
      <c r="AR744" s="1" t="s">
        <v>74</v>
      </c>
      <c r="AS744" s="1" t="s">
        <v>74</v>
      </c>
      <c r="AT744" s="1" t="s">
        <v>74</v>
      </c>
      <c r="AU744" s="1">
        <v>2019.0</v>
      </c>
      <c r="AV744" s="1">
        <v>35.0</v>
      </c>
      <c r="AW744" s="1">
        <v>5.0</v>
      </c>
      <c r="AX744" s="1" t="s">
        <v>74</v>
      </c>
      <c r="AY744" s="1" t="s">
        <v>74</v>
      </c>
      <c r="AZ744" s="1" t="s">
        <v>74</v>
      </c>
      <c r="BA744" s="1" t="s">
        <v>74</v>
      </c>
      <c r="BB744" s="1">
        <v>1336.0</v>
      </c>
      <c r="BC744" s="1">
        <v>1342.0</v>
      </c>
      <c r="BD744" s="1" t="s">
        <v>74</v>
      </c>
      <c r="BE744" s="1" t="s">
        <v>74</v>
      </c>
      <c r="BF744" s="1" t="s">
        <v>74</v>
      </c>
      <c r="BG744" s="1" t="s">
        <v>74</v>
      </c>
      <c r="BH744" s="1" t="s">
        <v>74</v>
      </c>
      <c r="BI744" s="1" t="s">
        <v>74</v>
      </c>
      <c r="BJ744" s="1" t="s">
        <v>74</v>
      </c>
      <c r="BK744" s="1" t="s">
        <v>74</v>
      </c>
      <c r="BL744" s="1" t="s">
        <v>74</v>
      </c>
      <c r="BM744" s="1" t="s">
        <v>74</v>
      </c>
      <c r="BN744" s="1" t="s">
        <v>74</v>
      </c>
      <c r="BO744" s="1" t="s">
        <v>74</v>
      </c>
      <c r="BP744" s="1" t="s">
        <v>74</v>
      </c>
      <c r="BQ744" s="1" t="s">
        <v>74</v>
      </c>
      <c r="BR744" s="1" t="s">
        <v>74</v>
      </c>
      <c r="BS744" s="1" t="s">
        <v>7518</v>
      </c>
      <c r="BT744" s="1" t="str">
        <f>HYPERLINK("https%3A%2F%2Fwww.webofscience.com%2Fwos%2Fwoscc%2Ffull-record%2FWOS:000484364100008","View Full Record in Web of Science")</f>
        <v>View Full Record in Web of Science</v>
      </c>
    </row>
    <row r="745" ht="12.75" customHeight="1">
      <c r="A745" s="1" t="s">
        <v>72</v>
      </c>
      <c r="B745" s="1" t="s">
        <v>7519</v>
      </c>
      <c r="C745" s="1" t="s">
        <v>74</v>
      </c>
      <c r="D745" s="1" t="s">
        <v>74</v>
      </c>
      <c r="E745" s="1" t="s">
        <v>74</v>
      </c>
      <c r="F745" s="1" t="s">
        <v>7520</v>
      </c>
      <c r="G745" s="1" t="s">
        <v>74</v>
      </c>
      <c r="H745" s="1" t="s">
        <v>74</v>
      </c>
      <c r="I745" s="1" t="s">
        <v>7521</v>
      </c>
      <c r="J745" s="1" t="s">
        <v>259</v>
      </c>
      <c r="K745" s="1" t="s">
        <v>74</v>
      </c>
      <c r="L745" s="1" t="s">
        <v>74</v>
      </c>
      <c r="M745" s="1" t="s">
        <v>74</v>
      </c>
      <c r="N745" s="1" t="s">
        <v>74</v>
      </c>
      <c r="O745" s="1" t="s">
        <v>74</v>
      </c>
      <c r="P745" s="1" t="s">
        <v>74</v>
      </c>
      <c r="Q745" s="1" t="s">
        <v>74</v>
      </c>
      <c r="R745" s="1" t="s">
        <v>74</v>
      </c>
      <c r="S745" s="1" t="s">
        <v>74</v>
      </c>
      <c r="T745" s="1" t="s">
        <v>74</v>
      </c>
      <c r="U745" s="1" t="s">
        <v>74</v>
      </c>
      <c r="V745" s="1" t="s">
        <v>7522</v>
      </c>
      <c r="W745" s="1" t="s">
        <v>74</v>
      </c>
      <c r="X745" s="1" t="s">
        <v>74</v>
      </c>
      <c r="Y745" s="1" t="s">
        <v>74</v>
      </c>
      <c r="Z745" s="1" t="s">
        <v>74</v>
      </c>
      <c r="AA745" s="1" t="s">
        <v>7523</v>
      </c>
      <c r="AB745" s="1" t="s">
        <v>7524</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74</v>
      </c>
      <c r="AP745" s="1" t="s">
        <v>263</v>
      </c>
      <c r="AQ745" s="1" t="s">
        <v>74</v>
      </c>
      <c r="AR745" s="1" t="s">
        <v>74</v>
      </c>
      <c r="AS745" s="1" t="s">
        <v>74</v>
      </c>
      <c r="AT745" s="1" t="s">
        <v>745</v>
      </c>
      <c r="AU745" s="1">
        <v>2017.0</v>
      </c>
      <c r="AV745" s="1">
        <v>9.0</v>
      </c>
      <c r="AW745" s="1">
        <v>7.0</v>
      </c>
      <c r="AX745" s="1" t="s">
        <v>74</v>
      </c>
      <c r="AY745" s="1" t="s">
        <v>74</v>
      </c>
      <c r="AZ745" s="1" t="s">
        <v>74</v>
      </c>
      <c r="BA745" s="1" t="s">
        <v>74</v>
      </c>
      <c r="BB745" s="1" t="s">
        <v>74</v>
      </c>
      <c r="BC745" s="1" t="s">
        <v>74</v>
      </c>
      <c r="BD745" s="1">
        <v>644.0</v>
      </c>
      <c r="BE745" s="1" t="s">
        <v>7525</v>
      </c>
      <c r="BF745" s="2" t="str">
        <f>HYPERLINK("http://dx.doi.org/10.3390/nu9070644","http://dx.doi.org/10.3390/nu9070644")</f>
        <v>http://dx.doi.org/10.3390/nu9070644</v>
      </c>
      <c r="BG745" s="1" t="s">
        <v>74</v>
      </c>
      <c r="BH745" s="1" t="s">
        <v>74</v>
      </c>
      <c r="BI745" s="1" t="s">
        <v>74</v>
      </c>
      <c r="BJ745" s="1" t="s">
        <v>74</v>
      </c>
      <c r="BK745" s="1" t="s">
        <v>74</v>
      </c>
      <c r="BL745" s="1" t="s">
        <v>74</v>
      </c>
      <c r="BM745" s="1" t="s">
        <v>74</v>
      </c>
      <c r="BN745" s="1">
        <v>2.8640231E7</v>
      </c>
      <c r="BO745" s="1" t="s">
        <v>74</v>
      </c>
      <c r="BP745" s="1" t="s">
        <v>74</v>
      </c>
      <c r="BQ745" s="1" t="s">
        <v>74</v>
      </c>
      <c r="BR745" s="1" t="s">
        <v>74</v>
      </c>
      <c r="BS745" s="1" t="s">
        <v>7526</v>
      </c>
      <c r="BT745" s="1" t="str">
        <f>HYPERLINK("https%3A%2F%2Fwww.webofscience.com%2Fwos%2Fwoscc%2Ffull-record%2FWOS:000406679700006","View Full Record in Web of Science")</f>
        <v>View Full Record in Web of Science</v>
      </c>
    </row>
    <row r="746" ht="12.75" customHeight="1">
      <c r="A746" s="1" t="s">
        <v>72</v>
      </c>
      <c r="B746" s="1" t="s">
        <v>7527</v>
      </c>
      <c r="C746" s="1" t="s">
        <v>74</v>
      </c>
      <c r="D746" s="1" t="s">
        <v>74</v>
      </c>
      <c r="E746" s="1" t="s">
        <v>74</v>
      </c>
      <c r="F746" s="1" t="s">
        <v>7528</v>
      </c>
      <c r="G746" s="1" t="s">
        <v>74</v>
      </c>
      <c r="H746" s="1" t="s">
        <v>74</v>
      </c>
      <c r="I746" s="1" t="s">
        <v>7529</v>
      </c>
      <c r="J746" s="1" t="s">
        <v>4108</v>
      </c>
      <c r="K746" s="1" t="s">
        <v>74</v>
      </c>
      <c r="L746" s="1" t="s">
        <v>74</v>
      </c>
      <c r="M746" s="1" t="s">
        <v>74</v>
      </c>
      <c r="N746" s="1" t="s">
        <v>74</v>
      </c>
      <c r="O746" s="1" t="s">
        <v>74</v>
      </c>
      <c r="P746" s="1" t="s">
        <v>74</v>
      </c>
      <c r="Q746" s="1" t="s">
        <v>74</v>
      </c>
      <c r="R746" s="1" t="s">
        <v>74</v>
      </c>
      <c r="S746" s="1" t="s">
        <v>74</v>
      </c>
      <c r="T746" s="1" t="s">
        <v>74</v>
      </c>
      <c r="U746" s="1" t="s">
        <v>74</v>
      </c>
      <c r="V746" s="1" t="s">
        <v>7530</v>
      </c>
      <c r="W746" s="1" t="s">
        <v>74</v>
      </c>
      <c r="X746" s="1" t="s">
        <v>74</v>
      </c>
      <c r="Y746" s="1" t="s">
        <v>74</v>
      </c>
      <c r="Z746" s="1" t="s">
        <v>74</v>
      </c>
      <c r="AA746" s="1" t="s">
        <v>7531</v>
      </c>
      <c r="AB746" s="1" t="s">
        <v>7532</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4112</v>
      </c>
      <c r="AP746" s="1" t="s">
        <v>4113</v>
      </c>
      <c r="AQ746" s="1" t="s">
        <v>74</v>
      </c>
      <c r="AR746" s="1" t="s">
        <v>74</v>
      </c>
      <c r="AS746" s="1" t="s">
        <v>74</v>
      </c>
      <c r="AT746" s="1" t="s">
        <v>106</v>
      </c>
      <c r="AU746" s="1">
        <v>2023.0</v>
      </c>
      <c r="AV746" s="1">
        <v>574.0</v>
      </c>
      <c r="AW746" s="1" t="s">
        <v>74</v>
      </c>
      <c r="AX746" s="1" t="s">
        <v>74</v>
      </c>
      <c r="AY746" s="1" t="s">
        <v>74</v>
      </c>
      <c r="AZ746" s="1" t="s">
        <v>74</v>
      </c>
      <c r="BA746" s="1" t="s">
        <v>74</v>
      </c>
      <c r="BB746" s="1" t="s">
        <v>74</v>
      </c>
      <c r="BC746" s="1" t="s">
        <v>74</v>
      </c>
      <c r="BD746" s="1">
        <v>113880.0</v>
      </c>
      <c r="BE746" s="1" t="s">
        <v>7533</v>
      </c>
      <c r="BF746" s="2" t="str">
        <f>HYPERLINK("http://dx.doi.org/10.1016/j.fluid.2023.113880","http://dx.doi.org/10.1016/j.fluid.2023.113880")</f>
        <v>http://dx.doi.org/10.1016/j.fluid.2023.113880</v>
      </c>
      <c r="BG746" s="1" t="s">
        <v>74</v>
      </c>
      <c r="BH746" s="1" t="s">
        <v>3540</v>
      </c>
      <c r="BI746" s="1" t="s">
        <v>74</v>
      </c>
      <c r="BJ746" s="1" t="s">
        <v>74</v>
      </c>
      <c r="BK746" s="1" t="s">
        <v>74</v>
      </c>
      <c r="BL746" s="1" t="s">
        <v>74</v>
      </c>
      <c r="BM746" s="1" t="s">
        <v>74</v>
      </c>
      <c r="BN746" s="1" t="s">
        <v>74</v>
      </c>
      <c r="BO746" s="1" t="s">
        <v>74</v>
      </c>
      <c r="BP746" s="1" t="s">
        <v>74</v>
      </c>
      <c r="BQ746" s="1" t="s">
        <v>74</v>
      </c>
      <c r="BR746" s="1" t="s">
        <v>74</v>
      </c>
      <c r="BS746" s="1" t="s">
        <v>7534</v>
      </c>
      <c r="BT746" s="1" t="str">
        <f>HYPERLINK("https%3A%2F%2Fwww.webofscience.com%2Fwos%2Fwoscc%2Ffull-record%2FWOS:001041875900001","View Full Record in Web of Science")</f>
        <v>View Full Record in Web of Science</v>
      </c>
    </row>
    <row r="747" ht="12.75" customHeight="1">
      <c r="A747" s="1" t="s">
        <v>72</v>
      </c>
      <c r="B747" s="1" t="s">
        <v>7535</v>
      </c>
      <c r="C747" s="1" t="s">
        <v>74</v>
      </c>
      <c r="D747" s="1" t="s">
        <v>74</v>
      </c>
      <c r="E747" s="1" t="s">
        <v>74</v>
      </c>
      <c r="F747" s="1" t="s">
        <v>7536</v>
      </c>
      <c r="G747" s="1" t="s">
        <v>74</v>
      </c>
      <c r="H747" s="1" t="s">
        <v>74</v>
      </c>
      <c r="I747" s="1" t="s">
        <v>7537</v>
      </c>
      <c r="J747" s="1" t="s">
        <v>7538</v>
      </c>
      <c r="K747" s="1" t="s">
        <v>74</v>
      </c>
      <c r="L747" s="1" t="s">
        <v>74</v>
      </c>
      <c r="M747" s="1" t="s">
        <v>74</v>
      </c>
      <c r="N747" s="1" t="s">
        <v>74</v>
      </c>
      <c r="O747" s="1" t="s">
        <v>74</v>
      </c>
      <c r="P747" s="1" t="s">
        <v>74</v>
      </c>
      <c r="Q747" s="1" t="s">
        <v>74</v>
      </c>
      <c r="R747" s="1" t="s">
        <v>74</v>
      </c>
      <c r="S747" s="1" t="s">
        <v>74</v>
      </c>
      <c r="T747" s="1" t="s">
        <v>74</v>
      </c>
      <c r="U747" s="1" t="s">
        <v>74</v>
      </c>
      <c r="V747" s="1" t="s">
        <v>7539</v>
      </c>
      <c r="W747" s="1" t="s">
        <v>74</v>
      </c>
      <c r="X747" s="1" t="s">
        <v>74</v>
      </c>
      <c r="Y747" s="1" t="s">
        <v>74</v>
      </c>
      <c r="Z747" s="1" t="s">
        <v>74</v>
      </c>
      <c r="AA747" s="1" t="s">
        <v>7540</v>
      </c>
      <c r="AB747" s="1" t="s">
        <v>7541</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74</v>
      </c>
      <c r="AP747" s="1" t="s">
        <v>7542</v>
      </c>
      <c r="AQ747" s="1" t="s">
        <v>74</v>
      </c>
      <c r="AR747" s="1" t="s">
        <v>74</v>
      </c>
      <c r="AS747" s="1" t="s">
        <v>74</v>
      </c>
      <c r="AT747" s="1" t="s">
        <v>202</v>
      </c>
      <c r="AU747" s="1">
        <v>2024.0</v>
      </c>
      <c r="AV747" s="1">
        <v>14.0</v>
      </c>
      <c r="AW747" s="1">
        <v>12.0</v>
      </c>
      <c r="AX747" s="1" t="s">
        <v>74</v>
      </c>
      <c r="AY747" s="1" t="s">
        <v>74</v>
      </c>
      <c r="AZ747" s="1" t="s">
        <v>74</v>
      </c>
      <c r="BA747" s="1" t="s">
        <v>74</v>
      </c>
      <c r="BB747" s="1" t="s">
        <v>74</v>
      </c>
      <c r="BC747" s="1" t="s">
        <v>74</v>
      </c>
      <c r="BD747" s="1">
        <v>1277.0</v>
      </c>
      <c r="BE747" s="1" t="s">
        <v>7543</v>
      </c>
      <c r="BF747" s="2" t="str">
        <f>HYPERLINK("http://dx.doi.org/10.3390/diagnostics14121277","http://dx.doi.org/10.3390/diagnostics14121277")</f>
        <v>http://dx.doi.org/10.3390/diagnostics14121277</v>
      </c>
      <c r="BG747" s="1" t="s">
        <v>74</v>
      </c>
      <c r="BH747" s="1" t="s">
        <v>74</v>
      </c>
      <c r="BI747" s="1" t="s">
        <v>74</v>
      </c>
      <c r="BJ747" s="1" t="s">
        <v>74</v>
      </c>
      <c r="BK747" s="1" t="s">
        <v>74</v>
      </c>
      <c r="BL747" s="1" t="s">
        <v>74</v>
      </c>
      <c r="BM747" s="1" t="s">
        <v>74</v>
      </c>
      <c r="BN747" s="1">
        <v>3.8928695E7</v>
      </c>
      <c r="BO747" s="1" t="s">
        <v>74</v>
      </c>
      <c r="BP747" s="1" t="s">
        <v>74</v>
      </c>
      <c r="BQ747" s="1" t="s">
        <v>74</v>
      </c>
      <c r="BR747" s="1" t="s">
        <v>74</v>
      </c>
      <c r="BS747" s="1" t="s">
        <v>7544</v>
      </c>
      <c r="BT747" s="1" t="str">
        <f>HYPERLINK("https%3A%2F%2Fwww.webofscience.com%2Fwos%2Fwoscc%2Ffull-record%2FWOS:001254491400001","View Full Record in Web of Science")</f>
        <v>View Full Record in Web of Science</v>
      </c>
    </row>
    <row r="748" ht="12.75" customHeight="1">
      <c r="A748" s="1" t="s">
        <v>72</v>
      </c>
      <c r="B748" s="1" t="s">
        <v>7545</v>
      </c>
      <c r="C748" s="1" t="s">
        <v>74</v>
      </c>
      <c r="D748" s="1" t="s">
        <v>74</v>
      </c>
      <c r="E748" s="1" t="s">
        <v>74</v>
      </c>
      <c r="F748" s="1" t="s">
        <v>7546</v>
      </c>
      <c r="G748" s="1" t="s">
        <v>74</v>
      </c>
      <c r="H748" s="1" t="s">
        <v>74</v>
      </c>
      <c r="I748" s="1" t="s">
        <v>7547</v>
      </c>
      <c r="J748" s="1" t="s">
        <v>7548</v>
      </c>
      <c r="K748" s="1" t="s">
        <v>74</v>
      </c>
      <c r="L748" s="1" t="s">
        <v>74</v>
      </c>
      <c r="M748" s="1" t="s">
        <v>74</v>
      </c>
      <c r="N748" s="1" t="s">
        <v>74</v>
      </c>
      <c r="O748" s="1" t="s">
        <v>74</v>
      </c>
      <c r="P748" s="1" t="s">
        <v>74</v>
      </c>
      <c r="Q748" s="1" t="s">
        <v>74</v>
      </c>
      <c r="R748" s="1" t="s">
        <v>74</v>
      </c>
      <c r="S748" s="1" t="s">
        <v>74</v>
      </c>
      <c r="T748" s="1" t="s">
        <v>74</v>
      </c>
      <c r="U748" s="1" t="s">
        <v>74</v>
      </c>
      <c r="V748" s="1" t="s">
        <v>7549</v>
      </c>
      <c r="W748" s="1" t="s">
        <v>74</v>
      </c>
      <c r="X748" s="1" t="s">
        <v>74</v>
      </c>
      <c r="Y748" s="1" t="s">
        <v>74</v>
      </c>
      <c r="Z748" s="1" t="s">
        <v>74</v>
      </c>
      <c r="AA748" s="1" t="s">
        <v>7550</v>
      </c>
      <c r="AB748" s="1" t="s">
        <v>7551</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7552</v>
      </c>
      <c r="AP748" s="1" t="s">
        <v>7553</v>
      </c>
      <c r="AQ748" s="1" t="s">
        <v>74</v>
      </c>
      <c r="AR748" s="1" t="s">
        <v>74</v>
      </c>
      <c r="AS748" s="1" t="s">
        <v>74</v>
      </c>
      <c r="AT748" s="1" t="s">
        <v>189</v>
      </c>
      <c r="AU748" s="1">
        <v>2021.0</v>
      </c>
      <c r="AV748" s="1">
        <v>60.0</v>
      </c>
      <c r="AW748" s="1">
        <v>49.0</v>
      </c>
      <c r="AX748" s="1" t="s">
        <v>74</v>
      </c>
      <c r="AY748" s="1" t="s">
        <v>74</v>
      </c>
      <c r="AZ748" s="1" t="s">
        <v>74</v>
      </c>
      <c r="BA748" s="1" t="s">
        <v>74</v>
      </c>
      <c r="BB748" s="1">
        <v>25958.0</v>
      </c>
      <c r="BC748" s="1">
        <v>25965.0</v>
      </c>
      <c r="BD748" s="1" t="s">
        <v>74</v>
      </c>
      <c r="BE748" s="1" t="s">
        <v>7554</v>
      </c>
      <c r="BF748" s="2" t="str">
        <f>HYPERLINK("http://dx.doi.org/10.1002/anie.202110515","http://dx.doi.org/10.1002/anie.202110515")</f>
        <v>http://dx.doi.org/10.1002/anie.202110515</v>
      </c>
      <c r="BG748" s="1" t="s">
        <v>74</v>
      </c>
      <c r="BH748" s="1" t="s">
        <v>2665</v>
      </c>
      <c r="BI748" s="1" t="s">
        <v>74</v>
      </c>
      <c r="BJ748" s="1" t="s">
        <v>74</v>
      </c>
      <c r="BK748" s="1" t="s">
        <v>74</v>
      </c>
      <c r="BL748" s="1" t="s">
        <v>74</v>
      </c>
      <c r="BM748" s="1" t="s">
        <v>74</v>
      </c>
      <c r="BN748" s="1">
        <v>3.4726815E7</v>
      </c>
      <c r="BO748" s="1" t="s">
        <v>74</v>
      </c>
      <c r="BP748" s="1" t="s">
        <v>74</v>
      </c>
      <c r="BQ748" s="1" t="s">
        <v>74</v>
      </c>
      <c r="BR748" s="1" t="s">
        <v>74</v>
      </c>
      <c r="BS748" s="1" t="s">
        <v>7555</v>
      </c>
      <c r="BT748" s="1" t="str">
        <f>HYPERLINK("https%3A%2F%2Fwww.webofscience.com%2Fwos%2Fwoscc%2Ffull-record%2FWOS:000713755500001","View Full Record in Web of Science")</f>
        <v>View Full Record in Web of Science</v>
      </c>
    </row>
    <row r="749" ht="12.75" customHeight="1">
      <c r="A749" s="1" t="s">
        <v>72</v>
      </c>
      <c r="B749" s="1" t="s">
        <v>7556</v>
      </c>
      <c r="C749" s="1" t="s">
        <v>74</v>
      </c>
      <c r="D749" s="1" t="s">
        <v>74</v>
      </c>
      <c r="E749" s="1" t="s">
        <v>74</v>
      </c>
      <c r="F749" s="1" t="s">
        <v>7557</v>
      </c>
      <c r="G749" s="1" t="s">
        <v>74</v>
      </c>
      <c r="H749" s="1" t="s">
        <v>74</v>
      </c>
      <c r="I749" s="1" t="s">
        <v>7558</v>
      </c>
      <c r="J749" s="1" t="s">
        <v>7559</v>
      </c>
      <c r="K749" s="1" t="s">
        <v>74</v>
      </c>
      <c r="L749" s="1" t="s">
        <v>74</v>
      </c>
      <c r="M749" s="1" t="s">
        <v>74</v>
      </c>
      <c r="N749" s="1" t="s">
        <v>74</v>
      </c>
      <c r="O749" s="1" t="s">
        <v>74</v>
      </c>
      <c r="P749" s="1" t="s">
        <v>74</v>
      </c>
      <c r="Q749" s="1" t="s">
        <v>74</v>
      </c>
      <c r="R749" s="1" t="s">
        <v>74</v>
      </c>
      <c r="S749" s="1" t="s">
        <v>74</v>
      </c>
      <c r="T749" s="1" t="s">
        <v>74</v>
      </c>
      <c r="U749" s="1" t="s">
        <v>74</v>
      </c>
      <c r="V749" s="1" t="s">
        <v>7560</v>
      </c>
      <c r="W749" s="1" t="s">
        <v>74</v>
      </c>
      <c r="X749" s="1" t="s">
        <v>74</v>
      </c>
      <c r="Y749" s="1" t="s">
        <v>74</v>
      </c>
      <c r="Z749" s="1" t="s">
        <v>74</v>
      </c>
      <c r="AA749" s="1" t="s">
        <v>7561</v>
      </c>
      <c r="AB749" s="1" t="s">
        <v>7562</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74</v>
      </c>
      <c r="AP749" s="1" t="s">
        <v>7563</v>
      </c>
      <c r="AQ749" s="1" t="s">
        <v>74</v>
      </c>
      <c r="AR749" s="1" t="s">
        <v>74</v>
      </c>
      <c r="AS749" s="1" t="s">
        <v>74</v>
      </c>
      <c r="AT749" s="1" t="s">
        <v>7051</v>
      </c>
      <c r="AU749" s="1">
        <v>2023.0</v>
      </c>
      <c r="AV749" s="1">
        <v>18.0</v>
      </c>
      <c r="AW749" s="1">
        <v>1.0</v>
      </c>
      <c r="AX749" s="1" t="s">
        <v>74</v>
      </c>
      <c r="AY749" s="1" t="s">
        <v>74</v>
      </c>
      <c r="AZ749" s="1" t="s">
        <v>74</v>
      </c>
      <c r="BA749" s="1" t="s">
        <v>74</v>
      </c>
      <c r="BB749" s="1" t="s">
        <v>74</v>
      </c>
      <c r="BC749" s="1" t="s">
        <v>74</v>
      </c>
      <c r="BD749" s="1">
        <v>24.0</v>
      </c>
      <c r="BE749" s="1" t="s">
        <v>7564</v>
      </c>
      <c r="BF749" s="2" t="str">
        <f>HYPERLINK("http://dx.doi.org/10.1186/s40793-023-00486-w","http://dx.doi.org/10.1186/s40793-023-00486-w")</f>
        <v>http://dx.doi.org/10.1186/s40793-023-00486-w</v>
      </c>
      <c r="BG749" s="1" t="s">
        <v>74</v>
      </c>
      <c r="BH749" s="1" t="s">
        <v>74</v>
      </c>
      <c r="BI749" s="1" t="s">
        <v>74</v>
      </c>
      <c r="BJ749" s="1" t="s">
        <v>74</v>
      </c>
      <c r="BK749" s="1" t="s">
        <v>74</v>
      </c>
      <c r="BL749" s="1" t="s">
        <v>74</v>
      </c>
      <c r="BM749" s="1" t="s">
        <v>74</v>
      </c>
      <c r="BN749" s="1">
        <v>3.6978149E7</v>
      </c>
      <c r="BO749" s="1" t="s">
        <v>74</v>
      </c>
      <c r="BP749" s="1" t="s">
        <v>74</v>
      </c>
      <c r="BQ749" s="1" t="s">
        <v>74</v>
      </c>
      <c r="BR749" s="1" t="s">
        <v>74</v>
      </c>
      <c r="BS749" s="1" t="s">
        <v>7565</v>
      </c>
      <c r="BT749" s="1" t="str">
        <f>HYPERLINK("https%3A%2F%2Fwww.webofscience.com%2Fwos%2Fwoscc%2Ffull-record%2FWOS:000961898000001","View Full Record in Web of Science")</f>
        <v>View Full Record in Web of Science</v>
      </c>
    </row>
    <row r="750" ht="12.75" customHeight="1">
      <c r="A750" s="1" t="s">
        <v>72</v>
      </c>
      <c r="B750" s="1" t="s">
        <v>7566</v>
      </c>
      <c r="C750" s="1" t="s">
        <v>74</v>
      </c>
      <c r="D750" s="1" t="s">
        <v>74</v>
      </c>
      <c r="E750" s="1" t="s">
        <v>74</v>
      </c>
      <c r="F750" s="1" t="s">
        <v>7567</v>
      </c>
      <c r="G750" s="1" t="s">
        <v>74</v>
      </c>
      <c r="H750" s="1" t="s">
        <v>74</v>
      </c>
      <c r="I750" s="1" t="s">
        <v>7568</v>
      </c>
      <c r="J750" s="1" t="s">
        <v>4079</v>
      </c>
      <c r="K750" s="1" t="s">
        <v>74</v>
      </c>
      <c r="L750" s="1" t="s">
        <v>74</v>
      </c>
      <c r="M750" s="1" t="s">
        <v>74</v>
      </c>
      <c r="N750" s="1" t="s">
        <v>74</v>
      </c>
      <c r="O750" s="1" t="s">
        <v>74</v>
      </c>
      <c r="P750" s="1" t="s">
        <v>74</v>
      </c>
      <c r="Q750" s="1" t="s">
        <v>74</v>
      </c>
      <c r="R750" s="1" t="s">
        <v>74</v>
      </c>
      <c r="S750" s="1" t="s">
        <v>74</v>
      </c>
      <c r="T750" s="1" t="s">
        <v>74</v>
      </c>
      <c r="U750" s="1" t="s">
        <v>74</v>
      </c>
      <c r="V750" s="1" t="s">
        <v>7569</v>
      </c>
      <c r="W750" s="1" t="s">
        <v>74</v>
      </c>
      <c r="X750" s="1" t="s">
        <v>74</v>
      </c>
      <c r="Y750" s="1" t="s">
        <v>74</v>
      </c>
      <c r="Z750" s="1" t="s">
        <v>74</v>
      </c>
      <c r="AA750" s="1" t="s">
        <v>7570</v>
      </c>
      <c r="AB750" s="1" t="s">
        <v>74</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4083</v>
      </c>
      <c r="AP750" s="1" t="s">
        <v>4084</v>
      </c>
      <c r="AQ750" s="1" t="s">
        <v>74</v>
      </c>
      <c r="AR750" s="1" t="s">
        <v>74</v>
      </c>
      <c r="AS750" s="1" t="s">
        <v>74</v>
      </c>
      <c r="AT750" s="1" t="s">
        <v>7571</v>
      </c>
      <c r="AU750" s="1">
        <v>2024.0</v>
      </c>
      <c r="AV750" s="1">
        <v>50.0</v>
      </c>
      <c r="AW750" s="1">
        <v>1.0</v>
      </c>
      <c r="AX750" s="1" t="s">
        <v>74</v>
      </c>
      <c r="AY750" s="1" t="s">
        <v>74</v>
      </c>
      <c r="AZ750" s="1" t="s">
        <v>74</v>
      </c>
      <c r="BA750" s="1" t="s">
        <v>74</v>
      </c>
      <c r="BB750" s="1" t="s">
        <v>74</v>
      </c>
      <c r="BC750" s="1" t="s">
        <v>74</v>
      </c>
      <c r="BD750" s="1">
        <v>241.0</v>
      </c>
      <c r="BE750" s="1" t="s">
        <v>7572</v>
      </c>
      <c r="BF750" s="2" t="str">
        <f>HYPERLINK("http://dx.doi.org/10.1186/s13052-024-01800-z","http://dx.doi.org/10.1186/s13052-024-01800-z")</f>
        <v>http://dx.doi.org/10.1186/s13052-024-01800-z</v>
      </c>
      <c r="BG750" s="1" t="s">
        <v>74</v>
      </c>
      <c r="BH750" s="1" t="s">
        <v>74</v>
      </c>
      <c r="BI750" s="1" t="s">
        <v>74</v>
      </c>
      <c r="BJ750" s="1" t="s">
        <v>74</v>
      </c>
      <c r="BK750" s="1" t="s">
        <v>74</v>
      </c>
      <c r="BL750" s="1" t="s">
        <v>74</v>
      </c>
      <c r="BM750" s="1" t="s">
        <v>74</v>
      </c>
      <c r="BN750" s="1">
        <v>3.952203E7</v>
      </c>
      <c r="BO750" s="1" t="s">
        <v>74</v>
      </c>
      <c r="BP750" s="1" t="s">
        <v>74</v>
      </c>
      <c r="BQ750" s="1" t="s">
        <v>74</v>
      </c>
      <c r="BR750" s="1" t="s">
        <v>74</v>
      </c>
      <c r="BS750" s="1" t="s">
        <v>7573</v>
      </c>
      <c r="BT750" s="1" t="str">
        <f>HYPERLINK("https%3A%2F%2Fwww.webofscience.com%2Fwos%2Fwoscc%2Ffull-record%2FWOS:001352294600001","View Full Record in Web of Science")</f>
        <v>View Full Record in Web of Science</v>
      </c>
    </row>
    <row r="751" ht="12.75" customHeight="1">
      <c r="A751" s="1" t="s">
        <v>72</v>
      </c>
      <c r="B751" s="1" t="s">
        <v>7574</v>
      </c>
      <c r="C751" s="1" t="s">
        <v>74</v>
      </c>
      <c r="D751" s="1" t="s">
        <v>74</v>
      </c>
      <c r="E751" s="1" t="s">
        <v>74</v>
      </c>
      <c r="F751" s="1" t="s">
        <v>7575</v>
      </c>
      <c r="G751" s="1" t="s">
        <v>74</v>
      </c>
      <c r="H751" s="1" t="s">
        <v>74</v>
      </c>
      <c r="I751" s="1" t="s">
        <v>7576</v>
      </c>
      <c r="J751" s="1" t="s">
        <v>7577</v>
      </c>
      <c r="K751" s="1" t="s">
        <v>74</v>
      </c>
      <c r="L751" s="1" t="s">
        <v>74</v>
      </c>
      <c r="M751" s="1" t="s">
        <v>74</v>
      </c>
      <c r="N751" s="1" t="s">
        <v>74</v>
      </c>
      <c r="O751" s="1" t="s">
        <v>74</v>
      </c>
      <c r="P751" s="1" t="s">
        <v>74</v>
      </c>
      <c r="Q751" s="1" t="s">
        <v>74</v>
      </c>
      <c r="R751" s="1" t="s">
        <v>74</v>
      </c>
      <c r="S751" s="1" t="s">
        <v>74</v>
      </c>
      <c r="T751" s="1" t="s">
        <v>74</v>
      </c>
      <c r="U751" s="1" t="s">
        <v>74</v>
      </c>
      <c r="V751" s="1" t="s">
        <v>7578</v>
      </c>
      <c r="W751" s="1" t="s">
        <v>74</v>
      </c>
      <c r="X751" s="1" t="s">
        <v>74</v>
      </c>
      <c r="Y751" s="1" t="s">
        <v>74</v>
      </c>
      <c r="Z751" s="1" t="s">
        <v>74</v>
      </c>
      <c r="AA751" s="1" t="s">
        <v>7579</v>
      </c>
      <c r="AB751" s="1" t="s">
        <v>7580</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7581</v>
      </c>
      <c r="AP751" s="1" t="s">
        <v>7582</v>
      </c>
      <c r="AQ751" s="1" t="s">
        <v>74</v>
      </c>
      <c r="AR751" s="1" t="s">
        <v>74</v>
      </c>
      <c r="AS751" s="1" t="s">
        <v>74</v>
      </c>
      <c r="AT751" s="1" t="s">
        <v>334</v>
      </c>
      <c r="AU751" s="1">
        <v>2024.0</v>
      </c>
      <c r="AV751" s="1">
        <v>45.0</v>
      </c>
      <c r="AW751" s="1">
        <v>5.0</v>
      </c>
      <c r="AX751" s="1" t="s">
        <v>74</v>
      </c>
      <c r="AY751" s="1" t="s">
        <v>74</v>
      </c>
      <c r="AZ751" s="1" t="s">
        <v>74</v>
      </c>
      <c r="BA751" s="1" t="s">
        <v>74</v>
      </c>
      <c r="BB751" s="1">
        <v>827.0</v>
      </c>
      <c r="BC751" s="1">
        <v>839.0</v>
      </c>
      <c r="BD751" s="1" t="s">
        <v>74</v>
      </c>
      <c r="BE751" s="1" t="s">
        <v>7583</v>
      </c>
      <c r="BF751" s="2" t="str">
        <f>HYPERLINK("http://dx.doi.org/10.1111/pops.12972","http://dx.doi.org/10.1111/pops.12972")</f>
        <v>http://dx.doi.org/10.1111/pops.12972</v>
      </c>
      <c r="BG751" s="1" t="s">
        <v>74</v>
      </c>
      <c r="BH751" s="1" t="s">
        <v>766</v>
      </c>
      <c r="BI751" s="1" t="s">
        <v>74</v>
      </c>
      <c r="BJ751" s="1" t="s">
        <v>74</v>
      </c>
      <c r="BK751" s="1" t="s">
        <v>74</v>
      </c>
      <c r="BL751" s="1" t="s">
        <v>74</v>
      </c>
      <c r="BM751" s="1" t="s">
        <v>74</v>
      </c>
      <c r="BN751" s="1" t="s">
        <v>74</v>
      </c>
      <c r="BO751" s="1" t="s">
        <v>74</v>
      </c>
      <c r="BP751" s="1" t="s">
        <v>74</v>
      </c>
      <c r="BQ751" s="1" t="s">
        <v>74</v>
      </c>
      <c r="BR751" s="1" t="s">
        <v>74</v>
      </c>
      <c r="BS751" s="1" t="s">
        <v>7584</v>
      </c>
      <c r="BT751" s="1" t="str">
        <f>HYPERLINK("https%3A%2F%2Fwww.webofscience.com%2Fwos%2Fwoscc%2Ffull-record%2FWOS:001181002100001","View Full Record in Web of Science")</f>
        <v>View Full Record in Web of Science</v>
      </c>
    </row>
    <row r="752" ht="12.75" customHeight="1">
      <c r="A752" s="1" t="s">
        <v>72</v>
      </c>
      <c r="B752" s="1" t="s">
        <v>7585</v>
      </c>
      <c r="C752" s="1" t="s">
        <v>74</v>
      </c>
      <c r="D752" s="1" t="s">
        <v>74</v>
      </c>
      <c r="E752" s="1" t="s">
        <v>74</v>
      </c>
      <c r="F752" s="1" t="s">
        <v>7586</v>
      </c>
      <c r="G752" s="1" t="s">
        <v>74</v>
      </c>
      <c r="H752" s="1" t="s">
        <v>74</v>
      </c>
      <c r="I752" s="1" t="s">
        <v>7587</v>
      </c>
      <c r="J752" s="1" t="s">
        <v>7588</v>
      </c>
      <c r="K752" s="1" t="s">
        <v>74</v>
      </c>
      <c r="L752" s="1" t="s">
        <v>74</v>
      </c>
      <c r="M752" s="1" t="s">
        <v>74</v>
      </c>
      <c r="N752" s="1" t="s">
        <v>74</v>
      </c>
      <c r="O752" s="1" t="s">
        <v>74</v>
      </c>
      <c r="P752" s="1" t="s">
        <v>74</v>
      </c>
      <c r="Q752" s="1" t="s">
        <v>74</v>
      </c>
      <c r="R752" s="1" t="s">
        <v>74</v>
      </c>
      <c r="S752" s="1" t="s">
        <v>74</v>
      </c>
      <c r="T752" s="1" t="s">
        <v>74</v>
      </c>
      <c r="U752" s="1" t="s">
        <v>74</v>
      </c>
      <c r="V752" s="1" t="s">
        <v>7589</v>
      </c>
      <c r="W752" s="1" t="s">
        <v>74</v>
      </c>
      <c r="X752" s="1" t="s">
        <v>74</v>
      </c>
      <c r="Y752" s="1" t="s">
        <v>74</v>
      </c>
      <c r="Z752" s="1" t="s">
        <v>74</v>
      </c>
      <c r="AA752" s="1" t="s">
        <v>7590</v>
      </c>
      <c r="AB752" s="1" t="s">
        <v>7591</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7592</v>
      </c>
      <c r="AP752" s="1" t="s">
        <v>7593</v>
      </c>
      <c r="AQ752" s="1" t="s">
        <v>74</v>
      </c>
      <c r="AR752" s="1" t="s">
        <v>74</v>
      </c>
      <c r="AS752" s="1" t="s">
        <v>74</v>
      </c>
      <c r="AT752" s="1" t="s">
        <v>7594</v>
      </c>
      <c r="AU752" s="1">
        <v>2023.0</v>
      </c>
      <c r="AV752" s="1">
        <v>122.0</v>
      </c>
      <c r="AW752" s="1">
        <v>3.0</v>
      </c>
      <c r="AX752" s="1" t="s">
        <v>74</v>
      </c>
      <c r="AY752" s="1" t="s">
        <v>74</v>
      </c>
      <c r="AZ752" s="1" t="s">
        <v>74</v>
      </c>
      <c r="BA752" s="1" t="s">
        <v>74</v>
      </c>
      <c r="BB752" s="1" t="s">
        <v>74</v>
      </c>
      <c r="BC752" s="1" t="s">
        <v>74</v>
      </c>
      <c r="BD752" s="1">
        <v>31102.0</v>
      </c>
      <c r="BE752" s="1" t="s">
        <v>7595</v>
      </c>
      <c r="BF752" s="2" t="str">
        <f>HYPERLINK("http://dx.doi.org/10.1063/5.0132756","http://dx.doi.org/10.1063/5.0132756")</f>
        <v>http://dx.doi.org/10.1063/5.0132756</v>
      </c>
      <c r="BG752" s="1" t="s">
        <v>74</v>
      </c>
      <c r="BH752" s="1" t="s">
        <v>74</v>
      </c>
      <c r="BI752" s="1" t="s">
        <v>74</v>
      </c>
      <c r="BJ752" s="1" t="s">
        <v>74</v>
      </c>
      <c r="BK752" s="1" t="s">
        <v>74</v>
      </c>
      <c r="BL752" s="1" t="s">
        <v>74</v>
      </c>
      <c r="BM752" s="1" t="s">
        <v>74</v>
      </c>
      <c r="BN752" s="1" t="s">
        <v>74</v>
      </c>
      <c r="BO752" s="1" t="s">
        <v>74</v>
      </c>
      <c r="BP752" s="1" t="s">
        <v>74</v>
      </c>
      <c r="BQ752" s="1" t="s">
        <v>74</v>
      </c>
      <c r="BR752" s="1" t="s">
        <v>74</v>
      </c>
      <c r="BS752" s="1" t="s">
        <v>7596</v>
      </c>
      <c r="BT752" s="1" t="str">
        <f>HYPERLINK("https%3A%2F%2Fwww.webofscience.com%2Fwos%2Fwoscc%2Ffull-record%2FWOS:000922178500010","View Full Record in Web of Science")</f>
        <v>View Full Record in Web of Science</v>
      </c>
    </row>
    <row r="753" ht="12.75" customHeight="1">
      <c r="A753" s="1" t="s">
        <v>72</v>
      </c>
      <c r="B753" s="1" t="s">
        <v>7597</v>
      </c>
      <c r="C753" s="1" t="s">
        <v>74</v>
      </c>
      <c r="D753" s="1" t="s">
        <v>74</v>
      </c>
      <c r="E753" s="1" t="s">
        <v>74</v>
      </c>
      <c r="F753" s="1" t="s">
        <v>7598</v>
      </c>
      <c r="G753" s="1" t="s">
        <v>74</v>
      </c>
      <c r="H753" s="1" t="s">
        <v>74</v>
      </c>
      <c r="I753" s="1" t="s">
        <v>7599</v>
      </c>
      <c r="J753" s="1" t="s">
        <v>7600</v>
      </c>
      <c r="K753" s="1" t="s">
        <v>74</v>
      </c>
      <c r="L753" s="1" t="s">
        <v>74</v>
      </c>
      <c r="M753" s="1" t="s">
        <v>74</v>
      </c>
      <c r="N753" s="1" t="s">
        <v>74</v>
      </c>
      <c r="O753" s="1" t="s">
        <v>74</v>
      </c>
      <c r="P753" s="1" t="s">
        <v>74</v>
      </c>
      <c r="Q753" s="1" t="s">
        <v>74</v>
      </c>
      <c r="R753" s="1" t="s">
        <v>74</v>
      </c>
      <c r="S753" s="1" t="s">
        <v>74</v>
      </c>
      <c r="T753" s="1" t="s">
        <v>74</v>
      </c>
      <c r="U753" s="1" t="s">
        <v>74</v>
      </c>
      <c r="V753" s="1" t="s">
        <v>7601</v>
      </c>
      <c r="W753" s="1" t="s">
        <v>74</v>
      </c>
      <c r="X753" s="1" t="s">
        <v>74</v>
      </c>
      <c r="Y753" s="1" t="s">
        <v>74</v>
      </c>
      <c r="Z753" s="1" t="s">
        <v>74</v>
      </c>
      <c r="AA753" s="1" t="s">
        <v>7602</v>
      </c>
      <c r="AB753" s="1" t="s">
        <v>7603</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7604</v>
      </c>
      <c r="AP753" s="1" t="s">
        <v>7605</v>
      </c>
      <c r="AQ753" s="1" t="s">
        <v>74</v>
      </c>
      <c r="AR753" s="1" t="s">
        <v>74</v>
      </c>
      <c r="AS753" s="1" t="s">
        <v>74</v>
      </c>
      <c r="AT753" s="1" t="s">
        <v>74</v>
      </c>
      <c r="AU753" s="1">
        <v>2016.0</v>
      </c>
      <c r="AV753" s="1">
        <v>7.0</v>
      </c>
      <c r="AW753" s="1">
        <v>9.0</v>
      </c>
      <c r="AX753" s="1" t="s">
        <v>74</v>
      </c>
      <c r="AY753" s="1" t="s">
        <v>74</v>
      </c>
      <c r="AZ753" s="1" t="s">
        <v>74</v>
      </c>
      <c r="BA753" s="1" t="s">
        <v>74</v>
      </c>
      <c r="BB753" s="1">
        <v>6132.0</v>
      </c>
      <c r="BC753" s="1">
        <v>6140.0</v>
      </c>
      <c r="BD753" s="1" t="s">
        <v>74</v>
      </c>
      <c r="BE753" s="1" t="s">
        <v>7606</v>
      </c>
      <c r="BF753" s="2" t="str">
        <f>HYPERLINK("http://dx.doi.org/10.1039/c6sc01469k","http://dx.doi.org/10.1039/c6sc01469k")</f>
        <v>http://dx.doi.org/10.1039/c6sc01469k</v>
      </c>
      <c r="BG753" s="1" t="s">
        <v>74</v>
      </c>
      <c r="BH753" s="1" t="s">
        <v>74</v>
      </c>
      <c r="BI753" s="1" t="s">
        <v>74</v>
      </c>
      <c r="BJ753" s="1" t="s">
        <v>74</v>
      </c>
      <c r="BK753" s="1" t="s">
        <v>74</v>
      </c>
      <c r="BL753" s="1" t="s">
        <v>74</v>
      </c>
      <c r="BM753" s="1" t="s">
        <v>74</v>
      </c>
      <c r="BN753" s="1">
        <v>2.7746891E7</v>
      </c>
      <c r="BO753" s="1" t="s">
        <v>74</v>
      </c>
      <c r="BP753" s="1" t="s">
        <v>74</v>
      </c>
      <c r="BQ753" s="1" t="s">
        <v>74</v>
      </c>
      <c r="BR753" s="1" t="s">
        <v>74</v>
      </c>
      <c r="BS753" s="1" t="s">
        <v>7607</v>
      </c>
      <c r="BT753" s="1" t="str">
        <f>HYPERLINK("https%3A%2F%2Fwww.webofscience.com%2Fwos%2Fwoscc%2Ffull-record%2FWOS:000382488500063","View Full Record in Web of Science")</f>
        <v>View Full Record in Web of Science</v>
      </c>
    </row>
    <row r="754" ht="12.75" customHeight="1">
      <c r="A754" s="1" t="s">
        <v>72</v>
      </c>
      <c r="B754" s="1" t="s">
        <v>7608</v>
      </c>
      <c r="C754" s="1" t="s">
        <v>74</v>
      </c>
      <c r="D754" s="1" t="s">
        <v>74</v>
      </c>
      <c r="E754" s="1" t="s">
        <v>74</v>
      </c>
      <c r="F754" s="1" t="s">
        <v>7609</v>
      </c>
      <c r="G754" s="1" t="s">
        <v>74</v>
      </c>
      <c r="H754" s="1" t="s">
        <v>74</v>
      </c>
      <c r="I754" s="1" t="s">
        <v>7610</v>
      </c>
      <c r="J754" s="1" t="s">
        <v>1003</v>
      </c>
      <c r="K754" s="1" t="s">
        <v>74</v>
      </c>
      <c r="L754" s="1" t="s">
        <v>74</v>
      </c>
      <c r="M754" s="1" t="s">
        <v>74</v>
      </c>
      <c r="N754" s="1" t="s">
        <v>74</v>
      </c>
      <c r="O754" s="1" t="s">
        <v>74</v>
      </c>
      <c r="P754" s="1" t="s">
        <v>74</v>
      </c>
      <c r="Q754" s="1" t="s">
        <v>74</v>
      </c>
      <c r="R754" s="1" t="s">
        <v>74</v>
      </c>
      <c r="S754" s="1" t="s">
        <v>74</v>
      </c>
      <c r="T754" s="1" t="s">
        <v>74</v>
      </c>
      <c r="U754" s="1" t="s">
        <v>74</v>
      </c>
      <c r="V754" s="1" t="s">
        <v>74</v>
      </c>
      <c r="W754" s="1" t="s">
        <v>74</v>
      </c>
      <c r="X754" s="1" t="s">
        <v>74</v>
      </c>
      <c r="Y754" s="1" t="s">
        <v>74</v>
      </c>
      <c r="Z754" s="1" t="s">
        <v>74</v>
      </c>
      <c r="AA754" s="1" t="s">
        <v>7611</v>
      </c>
      <c r="AB754" s="1" t="s">
        <v>7612</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1006</v>
      </c>
      <c r="AP754" s="1" t="s">
        <v>1007</v>
      </c>
      <c r="AQ754" s="1" t="s">
        <v>74</v>
      </c>
      <c r="AR754" s="1" t="s">
        <v>74</v>
      </c>
      <c r="AS754" s="1" t="s">
        <v>74</v>
      </c>
      <c r="AT754" s="1" t="s">
        <v>239</v>
      </c>
      <c r="AU754" s="1">
        <v>2024.0</v>
      </c>
      <c r="AV754" s="1">
        <v>152.0</v>
      </c>
      <c r="AW754" s="1">
        <v>5.0</v>
      </c>
      <c r="AX754" s="1" t="s">
        <v>74</v>
      </c>
      <c r="AY754" s="1" t="s">
        <v>74</v>
      </c>
      <c r="AZ754" s="1" t="s">
        <v>74</v>
      </c>
      <c r="BA754" s="1" t="s">
        <v>74</v>
      </c>
      <c r="BB754" s="1">
        <v>643.0</v>
      </c>
      <c r="BC754" s="1">
        <v>644.0</v>
      </c>
      <c r="BD754" s="1" t="s">
        <v>74</v>
      </c>
      <c r="BE754" s="1" t="s">
        <v>74</v>
      </c>
      <c r="BF754" s="1" t="s">
        <v>74</v>
      </c>
      <c r="BG754" s="1" t="s">
        <v>74</v>
      </c>
      <c r="BH754" s="1" t="s">
        <v>74</v>
      </c>
      <c r="BI754" s="1" t="s">
        <v>74</v>
      </c>
      <c r="BJ754" s="1" t="s">
        <v>74</v>
      </c>
      <c r="BK754" s="1" t="s">
        <v>74</v>
      </c>
      <c r="BL754" s="1" t="s">
        <v>74</v>
      </c>
      <c r="BM754" s="1" t="s">
        <v>74</v>
      </c>
      <c r="BN754" s="1">
        <v>3.9760584E7</v>
      </c>
      <c r="BO754" s="1" t="s">
        <v>74</v>
      </c>
      <c r="BP754" s="1" t="s">
        <v>74</v>
      </c>
      <c r="BQ754" s="1" t="s">
        <v>74</v>
      </c>
      <c r="BR754" s="1" t="s">
        <v>74</v>
      </c>
      <c r="BS754" s="1" t="s">
        <v>7613</v>
      </c>
      <c r="BT754" s="1" t="str">
        <f>HYPERLINK("https%3A%2F%2Fwww.webofscience.com%2Fwos%2Fwoscc%2Ffull-record%2FWOS:001358226000013","View Full Record in Web of Science")</f>
        <v>View Full Record in Web of Science</v>
      </c>
    </row>
    <row r="755" ht="12.75" customHeight="1">
      <c r="A755" s="1" t="s">
        <v>72</v>
      </c>
      <c r="B755" s="1" t="s">
        <v>7614</v>
      </c>
      <c r="C755" s="1" t="s">
        <v>74</v>
      </c>
      <c r="D755" s="1" t="s">
        <v>74</v>
      </c>
      <c r="E755" s="1" t="s">
        <v>74</v>
      </c>
      <c r="F755" s="1" t="s">
        <v>7615</v>
      </c>
      <c r="G755" s="1" t="s">
        <v>74</v>
      </c>
      <c r="H755" s="1" t="s">
        <v>74</v>
      </c>
      <c r="I755" s="1" t="s">
        <v>7616</v>
      </c>
      <c r="J755" s="1" t="s">
        <v>7617</v>
      </c>
      <c r="K755" s="1" t="s">
        <v>74</v>
      </c>
      <c r="L755" s="1" t="s">
        <v>74</v>
      </c>
      <c r="M755" s="1" t="s">
        <v>74</v>
      </c>
      <c r="N755" s="1" t="s">
        <v>74</v>
      </c>
      <c r="O755" s="1" t="s">
        <v>74</v>
      </c>
      <c r="P755" s="1" t="s">
        <v>74</v>
      </c>
      <c r="Q755" s="1" t="s">
        <v>74</v>
      </c>
      <c r="R755" s="1" t="s">
        <v>74</v>
      </c>
      <c r="S755" s="1" t="s">
        <v>74</v>
      </c>
      <c r="T755" s="1" t="s">
        <v>74</v>
      </c>
      <c r="U755" s="1" t="s">
        <v>74</v>
      </c>
      <c r="V755" s="1" t="s">
        <v>7618</v>
      </c>
      <c r="W755" s="1" t="s">
        <v>74</v>
      </c>
      <c r="X755" s="1" t="s">
        <v>74</v>
      </c>
      <c r="Y755" s="1" t="s">
        <v>74</v>
      </c>
      <c r="Z755" s="1" t="s">
        <v>74</v>
      </c>
      <c r="AA755" s="1" t="s">
        <v>7619</v>
      </c>
      <c r="AB755" s="1" t="s">
        <v>7620</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7621</v>
      </c>
      <c r="AP755" s="1" t="s">
        <v>74</v>
      </c>
      <c r="AQ755" s="1" t="s">
        <v>74</v>
      </c>
      <c r="AR755" s="1" t="s">
        <v>74</v>
      </c>
      <c r="AS755" s="1" t="s">
        <v>74</v>
      </c>
      <c r="AT755" s="1" t="s">
        <v>392</v>
      </c>
      <c r="AU755" s="1">
        <v>2021.0</v>
      </c>
      <c r="AV755" s="1">
        <v>48.0</v>
      </c>
      <c r="AW755" s="1">
        <v>2.0</v>
      </c>
      <c r="AX755" s="1" t="s">
        <v>74</v>
      </c>
      <c r="AY755" s="1" t="s">
        <v>74</v>
      </c>
      <c r="AZ755" s="1" t="s">
        <v>74</v>
      </c>
      <c r="BA755" s="1" t="s">
        <v>74</v>
      </c>
      <c r="BB755" s="1">
        <v>245.0</v>
      </c>
      <c r="BC755" s="1">
        <v>254.0</v>
      </c>
      <c r="BD755" s="1" t="s">
        <v>74</v>
      </c>
      <c r="BE755" s="1" t="s">
        <v>7622</v>
      </c>
      <c r="BF755" s="2" t="str">
        <f>HYPERLINK("http://dx.doi.org/10.4067/S0717-75182021000200245","http://dx.doi.org/10.4067/S0717-75182021000200245")</f>
        <v>http://dx.doi.org/10.4067/S0717-75182021000200245</v>
      </c>
      <c r="BG755" s="1" t="s">
        <v>74</v>
      </c>
      <c r="BH755" s="1" t="s">
        <v>74</v>
      </c>
      <c r="BI755" s="1" t="s">
        <v>74</v>
      </c>
      <c r="BJ755" s="1" t="s">
        <v>74</v>
      </c>
      <c r="BK755" s="1" t="s">
        <v>74</v>
      </c>
      <c r="BL755" s="1" t="s">
        <v>74</v>
      </c>
      <c r="BM755" s="1" t="s">
        <v>74</v>
      </c>
      <c r="BN755" s="1" t="s">
        <v>74</v>
      </c>
      <c r="BO755" s="1" t="s">
        <v>74</v>
      </c>
      <c r="BP755" s="1" t="s">
        <v>74</v>
      </c>
      <c r="BQ755" s="1" t="s">
        <v>74</v>
      </c>
      <c r="BR755" s="1" t="s">
        <v>74</v>
      </c>
      <c r="BS755" s="1" t="s">
        <v>7623</v>
      </c>
      <c r="BT755" s="1" t="str">
        <f>HYPERLINK("https%3A%2F%2Fwww.webofscience.com%2Fwos%2Fwoscc%2Ffull-record%2FWOS:000646258800013","View Full Record in Web of Science")</f>
        <v>View Full Record in Web of Science</v>
      </c>
    </row>
    <row r="756" ht="12.75" customHeight="1">
      <c r="A756" s="1" t="s">
        <v>2882</v>
      </c>
      <c r="B756" s="1" t="s">
        <v>7624</v>
      </c>
      <c r="C756" s="1" t="s">
        <v>74</v>
      </c>
      <c r="D756" s="1" t="s">
        <v>7625</v>
      </c>
      <c r="E756" s="1" t="s">
        <v>74</v>
      </c>
      <c r="F756" s="1" t="s">
        <v>7626</v>
      </c>
      <c r="G756" s="1" t="s">
        <v>74</v>
      </c>
      <c r="H756" s="1" t="s">
        <v>74</v>
      </c>
      <c r="I756" s="1" t="s">
        <v>7627</v>
      </c>
      <c r="J756" s="1" t="s">
        <v>7628</v>
      </c>
      <c r="K756" s="1" t="s">
        <v>74</v>
      </c>
      <c r="L756" s="1" t="s">
        <v>74</v>
      </c>
      <c r="M756" s="1" t="s">
        <v>74</v>
      </c>
      <c r="N756" s="1" t="s">
        <v>74</v>
      </c>
      <c r="O756" s="1" t="s">
        <v>74</v>
      </c>
      <c r="P756" s="1" t="s">
        <v>74</v>
      </c>
      <c r="Q756" s="1" t="s">
        <v>74</v>
      </c>
      <c r="R756" s="1" t="s">
        <v>74</v>
      </c>
      <c r="S756" s="1" t="s">
        <v>74</v>
      </c>
      <c r="T756" s="1" t="s">
        <v>74</v>
      </c>
      <c r="U756" s="1" t="s">
        <v>74</v>
      </c>
      <c r="V756" s="1" t="s">
        <v>74</v>
      </c>
      <c r="W756" s="1" t="s">
        <v>74</v>
      </c>
      <c r="X756" s="1" t="s">
        <v>74</v>
      </c>
      <c r="Y756" s="1" t="s">
        <v>74</v>
      </c>
      <c r="Z756" s="1" t="s">
        <v>74</v>
      </c>
      <c r="AA756" s="1" t="s">
        <v>74</v>
      </c>
      <c r="AB756" s="1" t="s">
        <v>74</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74</v>
      </c>
      <c r="AP756" s="1" t="s">
        <v>74</v>
      </c>
      <c r="AQ756" s="1" t="s">
        <v>7629</v>
      </c>
      <c r="AR756" s="1" t="s">
        <v>74</v>
      </c>
      <c r="AS756" s="1" t="s">
        <v>74</v>
      </c>
      <c r="AT756" s="1" t="s">
        <v>74</v>
      </c>
      <c r="AU756" s="1">
        <v>2021.0</v>
      </c>
      <c r="AV756" s="1" t="s">
        <v>74</v>
      </c>
      <c r="AW756" s="1" t="s">
        <v>74</v>
      </c>
      <c r="AX756" s="1" t="s">
        <v>74</v>
      </c>
      <c r="AY756" s="1" t="s">
        <v>74</v>
      </c>
      <c r="AZ756" s="1" t="s">
        <v>74</v>
      </c>
      <c r="BA756" s="1" t="s">
        <v>74</v>
      </c>
      <c r="BB756" s="1">
        <v>7.0</v>
      </c>
      <c r="BC756" s="1">
        <v>8.0</v>
      </c>
      <c r="BD756" s="1" t="s">
        <v>74</v>
      </c>
      <c r="BE756" s="1" t="s">
        <v>74</v>
      </c>
      <c r="BF756" s="1" t="s">
        <v>74</v>
      </c>
      <c r="BG756" s="1" t="s">
        <v>7630</v>
      </c>
      <c r="BH756" s="1" t="s">
        <v>74</v>
      </c>
      <c r="BI756" s="1" t="s">
        <v>74</v>
      </c>
      <c r="BJ756" s="1" t="s">
        <v>74</v>
      </c>
      <c r="BK756" s="1" t="s">
        <v>74</v>
      </c>
      <c r="BL756" s="1" t="s">
        <v>74</v>
      </c>
      <c r="BM756" s="1" t="s">
        <v>74</v>
      </c>
      <c r="BN756" s="1" t="s">
        <v>74</v>
      </c>
      <c r="BO756" s="1" t="s">
        <v>74</v>
      </c>
      <c r="BP756" s="1" t="s">
        <v>74</v>
      </c>
      <c r="BQ756" s="1" t="s">
        <v>74</v>
      </c>
      <c r="BR756" s="1" t="s">
        <v>74</v>
      </c>
      <c r="BS756" s="1" t="s">
        <v>7631</v>
      </c>
      <c r="BT756" s="1" t="str">
        <f>HYPERLINK("https%3A%2F%2Fwww.webofscience.com%2Fwos%2Fwoscc%2Ffull-record%2FWOS:000762754900001","View Full Record in Web of Science")</f>
        <v>View Full Record in Web of Science</v>
      </c>
    </row>
    <row r="757" ht="12.75" customHeight="1">
      <c r="A757" s="1" t="s">
        <v>72</v>
      </c>
      <c r="B757" s="1" t="s">
        <v>7632</v>
      </c>
      <c r="C757" s="1" t="s">
        <v>74</v>
      </c>
      <c r="D757" s="1" t="s">
        <v>74</v>
      </c>
      <c r="E757" s="1" t="s">
        <v>74</v>
      </c>
      <c r="F757" s="1" t="s">
        <v>7633</v>
      </c>
      <c r="G757" s="1" t="s">
        <v>74</v>
      </c>
      <c r="H757" s="1" t="s">
        <v>74</v>
      </c>
      <c r="I757" s="1" t="s">
        <v>7634</v>
      </c>
      <c r="J757" s="1" t="s">
        <v>7635</v>
      </c>
      <c r="K757" s="1" t="s">
        <v>74</v>
      </c>
      <c r="L757" s="1" t="s">
        <v>74</v>
      </c>
      <c r="M757" s="1" t="s">
        <v>74</v>
      </c>
      <c r="N757" s="1" t="s">
        <v>74</v>
      </c>
      <c r="O757" s="1" t="s">
        <v>74</v>
      </c>
      <c r="P757" s="1" t="s">
        <v>74</v>
      </c>
      <c r="Q757" s="1" t="s">
        <v>74</v>
      </c>
      <c r="R757" s="1" t="s">
        <v>74</v>
      </c>
      <c r="S757" s="1" t="s">
        <v>74</v>
      </c>
      <c r="T757" s="1" t="s">
        <v>74</v>
      </c>
      <c r="U757" s="1" t="s">
        <v>74</v>
      </c>
      <c r="V757" s="1" t="s">
        <v>7636</v>
      </c>
      <c r="W757" s="1" t="s">
        <v>74</v>
      </c>
      <c r="X757" s="1" t="s">
        <v>74</v>
      </c>
      <c r="Y757" s="1" t="s">
        <v>74</v>
      </c>
      <c r="Z757" s="1" t="s">
        <v>74</v>
      </c>
      <c r="AA757" s="1" t="s">
        <v>7637</v>
      </c>
      <c r="AB757" s="1" t="s">
        <v>7638</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7639</v>
      </c>
      <c r="AP757" s="1" t="s">
        <v>7640</v>
      </c>
      <c r="AQ757" s="1" t="s">
        <v>74</v>
      </c>
      <c r="AR757" s="1" t="s">
        <v>74</v>
      </c>
      <c r="AS757" s="1" t="s">
        <v>74</v>
      </c>
      <c r="AT757" s="1" t="s">
        <v>214</v>
      </c>
      <c r="AU757" s="1">
        <v>2025.0</v>
      </c>
      <c r="AV757" s="1">
        <v>342.0</v>
      </c>
      <c r="AW757" s="1" t="s">
        <v>74</v>
      </c>
      <c r="AX757" s="1" t="s">
        <v>74</v>
      </c>
      <c r="AY757" s="1" t="s">
        <v>74</v>
      </c>
      <c r="AZ757" s="1" t="s">
        <v>74</v>
      </c>
      <c r="BA757" s="1" t="s">
        <v>74</v>
      </c>
      <c r="BB757" s="1" t="s">
        <v>74</v>
      </c>
      <c r="BC757" s="1" t="s">
        <v>74</v>
      </c>
      <c r="BD757" s="1">
        <v>125099.0</v>
      </c>
      <c r="BE757" s="1" t="s">
        <v>7641</v>
      </c>
      <c r="BF757" s="2" t="str">
        <f>HYPERLINK("http://dx.doi.org/10.1016/j.jssc.2024.125099","http://dx.doi.org/10.1016/j.jssc.2024.125099")</f>
        <v>http://dx.doi.org/10.1016/j.jssc.2024.125099</v>
      </c>
      <c r="BG757" s="1" t="s">
        <v>74</v>
      </c>
      <c r="BH757" s="1" t="s">
        <v>5445</v>
      </c>
      <c r="BI757" s="1" t="s">
        <v>74</v>
      </c>
      <c r="BJ757" s="1" t="s">
        <v>74</v>
      </c>
      <c r="BK757" s="1" t="s">
        <v>74</v>
      </c>
      <c r="BL757" s="1" t="s">
        <v>74</v>
      </c>
      <c r="BM757" s="1" t="s">
        <v>74</v>
      </c>
      <c r="BN757" s="1" t="s">
        <v>74</v>
      </c>
      <c r="BO757" s="1" t="s">
        <v>74</v>
      </c>
      <c r="BP757" s="1" t="s">
        <v>74</v>
      </c>
      <c r="BQ757" s="1" t="s">
        <v>74</v>
      </c>
      <c r="BR757" s="1" t="s">
        <v>74</v>
      </c>
      <c r="BS757" s="1" t="s">
        <v>7642</v>
      </c>
      <c r="BT757" s="1" t="str">
        <f>HYPERLINK("https%3A%2F%2Fwww.webofscience.com%2Fwos%2Fwoscc%2Ffull-record%2FWOS:001370596700001","View Full Record in Web of Science")</f>
        <v>View Full Record in Web of Science</v>
      </c>
    </row>
    <row r="758" ht="12.75" customHeight="1">
      <c r="A758" s="1" t="s">
        <v>72</v>
      </c>
      <c r="B758" s="1" t="s">
        <v>7643</v>
      </c>
      <c r="C758" s="1" t="s">
        <v>74</v>
      </c>
      <c r="D758" s="1" t="s">
        <v>74</v>
      </c>
      <c r="E758" s="1" t="s">
        <v>74</v>
      </c>
      <c r="F758" s="1" t="s">
        <v>7644</v>
      </c>
      <c r="G758" s="1" t="s">
        <v>74</v>
      </c>
      <c r="H758" s="1" t="s">
        <v>74</v>
      </c>
      <c r="I758" s="1" t="s">
        <v>7645</v>
      </c>
      <c r="J758" s="1" t="s">
        <v>7646</v>
      </c>
      <c r="K758" s="1" t="s">
        <v>74</v>
      </c>
      <c r="L758" s="1" t="s">
        <v>74</v>
      </c>
      <c r="M758" s="1" t="s">
        <v>74</v>
      </c>
      <c r="N758" s="1" t="s">
        <v>74</v>
      </c>
      <c r="O758" s="1" t="s">
        <v>74</v>
      </c>
      <c r="P758" s="1" t="s">
        <v>74</v>
      </c>
      <c r="Q758" s="1" t="s">
        <v>74</v>
      </c>
      <c r="R758" s="1" t="s">
        <v>74</v>
      </c>
      <c r="S758" s="1" t="s">
        <v>74</v>
      </c>
      <c r="T758" s="1" t="s">
        <v>74</v>
      </c>
      <c r="U758" s="1" t="s">
        <v>74</v>
      </c>
      <c r="V758" s="1" t="s">
        <v>7647</v>
      </c>
      <c r="W758" s="1" t="s">
        <v>74</v>
      </c>
      <c r="X758" s="1" t="s">
        <v>74</v>
      </c>
      <c r="Y758" s="1" t="s">
        <v>74</v>
      </c>
      <c r="Z758" s="1" t="s">
        <v>74</v>
      </c>
      <c r="AA758" s="1" t="s">
        <v>7648</v>
      </c>
      <c r="AB758" s="1" t="s">
        <v>4140</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7649</v>
      </c>
      <c r="AP758" s="1" t="s">
        <v>7650</v>
      </c>
      <c r="AQ758" s="1" t="s">
        <v>74</v>
      </c>
      <c r="AR758" s="1" t="s">
        <v>74</v>
      </c>
      <c r="AS758" s="1" t="s">
        <v>74</v>
      </c>
      <c r="AT758" s="1" t="s">
        <v>447</v>
      </c>
      <c r="AU758" s="1">
        <v>2023.0</v>
      </c>
      <c r="AV758" s="1">
        <v>30.0</v>
      </c>
      <c r="AW758" s="1">
        <v>8.0</v>
      </c>
      <c r="AX758" s="1" t="s">
        <v>74</v>
      </c>
      <c r="AY758" s="1" t="s">
        <v>74</v>
      </c>
      <c r="AZ758" s="1" t="s">
        <v>74</v>
      </c>
      <c r="BA758" s="1" t="s">
        <v>74</v>
      </c>
      <c r="BB758" s="1" t="s">
        <v>74</v>
      </c>
      <c r="BC758" s="1" t="s">
        <v>74</v>
      </c>
      <c r="BD758" s="1">
        <v>82106.0</v>
      </c>
      <c r="BE758" s="1" t="s">
        <v>7651</v>
      </c>
      <c r="BF758" s="2" t="str">
        <f>HYPERLINK("http://dx.doi.org/10.1063/5.0159486","http://dx.doi.org/10.1063/5.0159486")</f>
        <v>http://dx.doi.org/10.1063/5.0159486</v>
      </c>
      <c r="BG758" s="1" t="s">
        <v>74</v>
      </c>
      <c r="BH758" s="1" t="s">
        <v>74</v>
      </c>
      <c r="BI758" s="1" t="s">
        <v>74</v>
      </c>
      <c r="BJ758" s="1" t="s">
        <v>74</v>
      </c>
      <c r="BK758" s="1" t="s">
        <v>74</v>
      </c>
      <c r="BL758" s="1" t="s">
        <v>74</v>
      </c>
      <c r="BM758" s="1" t="s">
        <v>74</v>
      </c>
      <c r="BN758" s="1" t="s">
        <v>74</v>
      </c>
      <c r="BO758" s="1" t="s">
        <v>74</v>
      </c>
      <c r="BP758" s="1" t="s">
        <v>74</v>
      </c>
      <c r="BQ758" s="1" t="s">
        <v>74</v>
      </c>
      <c r="BR758" s="1" t="s">
        <v>74</v>
      </c>
      <c r="BS758" s="1" t="s">
        <v>7652</v>
      </c>
      <c r="BT758" s="1" t="str">
        <f>HYPERLINK("https%3A%2F%2Fwww.webofscience.com%2Fwos%2Fwoscc%2Ffull-record%2FWOS:001050697700004","View Full Record in Web of Science")</f>
        <v>View Full Record in Web of Science</v>
      </c>
    </row>
    <row r="759" ht="12.75" customHeight="1">
      <c r="A759" s="1" t="s">
        <v>72</v>
      </c>
      <c r="B759" s="1" t="s">
        <v>7653</v>
      </c>
      <c r="C759" s="1" t="s">
        <v>74</v>
      </c>
      <c r="D759" s="1" t="s">
        <v>74</v>
      </c>
      <c r="E759" s="1" t="s">
        <v>74</v>
      </c>
      <c r="F759" s="1" t="s">
        <v>7654</v>
      </c>
      <c r="G759" s="1" t="s">
        <v>74</v>
      </c>
      <c r="H759" s="1" t="s">
        <v>74</v>
      </c>
      <c r="I759" s="1" t="s">
        <v>7655</v>
      </c>
      <c r="J759" s="1" t="s">
        <v>2379</v>
      </c>
      <c r="K759" s="1" t="s">
        <v>74</v>
      </c>
      <c r="L759" s="1" t="s">
        <v>74</v>
      </c>
      <c r="M759" s="1" t="s">
        <v>74</v>
      </c>
      <c r="N759" s="1" t="s">
        <v>74</v>
      </c>
      <c r="O759" s="1" t="s">
        <v>74</v>
      </c>
      <c r="P759" s="1" t="s">
        <v>74</v>
      </c>
      <c r="Q759" s="1" t="s">
        <v>74</v>
      </c>
      <c r="R759" s="1" t="s">
        <v>74</v>
      </c>
      <c r="S759" s="1" t="s">
        <v>74</v>
      </c>
      <c r="T759" s="1" t="s">
        <v>74</v>
      </c>
      <c r="U759" s="1" t="s">
        <v>74</v>
      </c>
      <c r="V759" s="1" t="s">
        <v>7656</v>
      </c>
      <c r="W759" s="1" t="s">
        <v>74</v>
      </c>
      <c r="X759" s="1" t="s">
        <v>74</v>
      </c>
      <c r="Y759" s="1" t="s">
        <v>74</v>
      </c>
      <c r="Z759" s="1" t="s">
        <v>74</v>
      </c>
      <c r="AA759" s="1" t="s">
        <v>7657</v>
      </c>
      <c r="AB759" s="1" t="s">
        <v>7658</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2383</v>
      </c>
      <c r="AP759" s="1" t="s">
        <v>2384</v>
      </c>
      <c r="AQ759" s="1" t="s">
        <v>74</v>
      </c>
      <c r="AR759" s="1" t="s">
        <v>74</v>
      </c>
      <c r="AS759" s="1" t="s">
        <v>74</v>
      </c>
      <c r="AT759" s="1" t="s">
        <v>1555</v>
      </c>
      <c r="AU759" s="1">
        <v>2020.0</v>
      </c>
      <c r="AV759" s="1">
        <v>49.0</v>
      </c>
      <c r="AW759" s="1">
        <v>35.0</v>
      </c>
      <c r="AX759" s="1" t="s">
        <v>74</v>
      </c>
      <c r="AY759" s="1" t="s">
        <v>74</v>
      </c>
      <c r="AZ759" s="1" t="s">
        <v>74</v>
      </c>
      <c r="BA759" s="1" t="s">
        <v>74</v>
      </c>
      <c r="BB759" s="1">
        <v>12249.0</v>
      </c>
      <c r="BC759" s="1">
        <v>12265.0</v>
      </c>
      <c r="BD759" s="1" t="s">
        <v>74</v>
      </c>
      <c r="BE759" s="1" t="s">
        <v>7659</v>
      </c>
      <c r="BF759" s="2" t="str">
        <f>HYPERLINK("http://dx.doi.org/10.1039/d0dt01756f","http://dx.doi.org/10.1039/d0dt01756f")</f>
        <v>http://dx.doi.org/10.1039/d0dt01756f</v>
      </c>
      <c r="BG759" s="1" t="s">
        <v>74</v>
      </c>
      <c r="BH759" s="1" t="s">
        <v>74</v>
      </c>
      <c r="BI759" s="1" t="s">
        <v>74</v>
      </c>
      <c r="BJ759" s="1" t="s">
        <v>74</v>
      </c>
      <c r="BK759" s="1" t="s">
        <v>74</v>
      </c>
      <c r="BL759" s="1" t="s">
        <v>74</v>
      </c>
      <c r="BM759" s="1" t="s">
        <v>74</v>
      </c>
      <c r="BN759" s="1">
        <v>3.2832967E7</v>
      </c>
      <c r="BO759" s="1" t="s">
        <v>74</v>
      </c>
      <c r="BP759" s="1" t="s">
        <v>74</v>
      </c>
      <c r="BQ759" s="1" t="s">
        <v>74</v>
      </c>
      <c r="BR759" s="1" t="s">
        <v>74</v>
      </c>
      <c r="BS759" s="1" t="s">
        <v>7660</v>
      </c>
      <c r="BT759" s="1" t="str">
        <f>HYPERLINK("https%3A%2F%2Fwww.webofscience.com%2Fwos%2Fwoscc%2Ffull-record%2FWOS:000569986300015","View Full Record in Web of Science")</f>
        <v>View Full Record in Web of Science</v>
      </c>
    </row>
    <row r="760" ht="12.75" customHeight="1">
      <c r="A760" s="1" t="s">
        <v>72</v>
      </c>
      <c r="B760" s="1" t="s">
        <v>7661</v>
      </c>
      <c r="C760" s="1" t="s">
        <v>74</v>
      </c>
      <c r="D760" s="1" t="s">
        <v>74</v>
      </c>
      <c r="E760" s="1" t="s">
        <v>74</v>
      </c>
      <c r="F760" s="1" t="s">
        <v>7662</v>
      </c>
      <c r="G760" s="1" t="s">
        <v>74</v>
      </c>
      <c r="H760" s="1" t="s">
        <v>74</v>
      </c>
      <c r="I760" s="1" t="s">
        <v>7663</v>
      </c>
      <c r="J760" s="1" t="s">
        <v>7664</v>
      </c>
      <c r="K760" s="1" t="s">
        <v>74</v>
      </c>
      <c r="L760" s="1" t="s">
        <v>74</v>
      </c>
      <c r="M760" s="1" t="s">
        <v>74</v>
      </c>
      <c r="N760" s="1" t="s">
        <v>74</v>
      </c>
      <c r="O760" s="1" t="s">
        <v>74</v>
      </c>
      <c r="P760" s="1" t="s">
        <v>74</v>
      </c>
      <c r="Q760" s="1" t="s">
        <v>74</v>
      </c>
      <c r="R760" s="1" t="s">
        <v>74</v>
      </c>
      <c r="S760" s="1" t="s">
        <v>74</v>
      </c>
      <c r="T760" s="1" t="s">
        <v>74</v>
      </c>
      <c r="U760" s="1" t="s">
        <v>74</v>
      </c>
      <c r="V760" s="1" t="s">
        <v>7665</v>
      </c>
      <c r="W760" s="1" t="s">
        <v>74</v>
      </c>
      <c r="X760" s="1" t="s">
        <v>74</v>
      </c>
      <c r="Y760" s="1" t="s">
        <v>74</v>
      </c>
      <c r="Z760" s="1" t="s">
        <v>74</v>
      </c>
      <c r="AA760" s="1" t="s">
        <v>7666</v>
      </c>
      <c r="AB760" s="1" t="s">
        <v>7667</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7668</v>
      </c>
      <c r="AP760" s="1" t="s">
        <v>7669</v>
      </c>
      <c r="AQ760" s="1" t="s">
        <v>74</v>
      </c>
      <c r="AR760" s="1" t="s">
        <v>74</v>
      </c>
      <c r="AS760" s="1" t="s">
        <v>74</v>
      </c>
      <c r="AT760" s="1" t="s">
        <v>214</v>
      </c>
      <c r="AU760" s="1">
        <v>2022.0</v>
      </c>
      <c r="AV760" s="1">
        <v>44.0</v>
      </c>
      <c r="AW760" s="1">
        <v>2.0</v>
      </c>
      <c r="AX760" s="1" t="s">
        <v>74</v>
      </c>
      <c r="AY760" s="1" t="s">
        <v>74</v>
      </c>
      <c r="AZ760" s="1" t="s">
        <v>448</v>
      </c>
      <c r="BA760" s="1" t="s">
        <v>74</v>
      </c>
      <c r="BB760" s="1">
        <v>527.0</v>
      </c>
      <c r="BC760" s="1">
        <v>535.0</v>
      </c>
      <c r="BD760" s="1" t="s">
        <v>74</v>
      </c>
      <c r="BE760" s="1" t="s">
        <v>7670</v>
      </c>
      <c r="BF760" s="2" t="str">
        <f>HYPERLINK("http://dx.doi.org/10.1007/s10653-020-00680-6","http://dx.doi.org/10.1007/s10653-020-00680-6")</f>
        <v>http://dx.doi.org/10.1007/s10653-020-00680-6</v>
      </c>
      <c r="BG760" s="1" t="s">
        <v>74</v>
      </c>
      <c r="BH760" s="1" t="s">
        <v>3020</v>
      </c>
      <c r="BI760" s="1" t="s">
        <v>74</v>
      </c>
      <c r="BJ760" s="1" t="s">
        <v>74</v>
      </c>
      <c r="BK760" s="1" t="s">
        <v>74</v>
      </c>
      <c r="BL760" s="1" t="s">
        <v>74</v>
      </c>
      <c r="BM760" s="1" t="s">
        <v>74</v>
      </c>
      <c r="BN760" s="1">
        <v>3.2740759E7</v>
      </c>
      <c r="BO760" s="1" t="s">
        <v>74</v>
      </c>
      <c r="BP760" s="1" t="s">
        <v>74</v>
      </c>
      <c r="BQ760" s="1" t="s">
        <v>74</v>
      </c>
      <c r="BR760" s="1" t="s">
        <v>74</v>
      </c>
      <c r="BS760" s="1" t="s">
        <v>7671</v>
      </c>
      <c r="BT760" s="1" t="str">
        <f>HYPERLINK("https%3A%2F%2Fwww.webofscience.com%2Fwos%2Fwoscc%2Ffull-record%2FWOS:000554422700001","View Full Record in Web of Science")</f>
        <v>View Full Record in Web of Science</v>
      </c>
    </row>
    <row r="761" ht="12.75" customHeight="1">
      <c r="A761" s="1" t="s">
        <v>72</v>
      </c>
      <c r="B761" s="1" t="s">
        <v>7672</v>
      </c>
      <c r="C761" s="1" t="s">
        <v>74</v>
      </c>
      <c r="D761" s="1" t="s">
        <v>74</v>
      </c>
      <c r="E761" s="1" t="s">
        <v>74</v>
      </c>
      <c r="F761" s="1" t="s">
        <v>7673</v>
      </c>
      <c r="G761" s="1" t="s">
        <v>74</v>
      </c>
      <c r="H761" s="1" t="s">
        <v>74</v>
      </c>
      <c r="I761" s="1" t="s">
        <v>7674</v>
      </c>
      <c r="J761" s="1" t="s">
        <v>480</v>
      </c>
      <c r="K761" s="1" t="s">
        <v>74</v>
      </c>
      <c r="L761" s="1" t="s">
        <v>74</v>
      </c>
      <c r="M761" s="1" t="s">
        <v>74</v>
      </c>
      <c r="N761" s="1" t="s">
        <v>74</v>
      </c>
      <c r="O761" s="1" t="s">
        <v>74</v>
      </c>
      <c r="P761" s="1" t="s">
        <v>74</v>
      </c>
      <c r="Q761" s="1" t="s">
        <v>74</v>
      </c>
      <c r="R761" s="1" t="s">
        <v>74</v>
      </c>
      <c r="S761" s="1" t="s">
        <v>74</v>
      </c>
      <c r="T761" s="1" t="s">
        <v>74</v>
      </c>
      <c r="U761" s="1" t="s">
        <v>74</v>
      </c>
      <c r="V761" s="1" t="s">
        <v>7675</v>
      </c>
      <c r="W761" s="1" t="s">
        <v>74</v>
      </c>
      <c r="X761" s="1" t="s">
        <v>74</v>
      </c>
      <c r="Y761" s="1" t="s">
        <v>74</v>
      </c>
      <c r="Z761" s="1" t="s">
        <v>74</v>
      </c>
      <c r="AA761" s="1" t="s">
        <v>7676</v>
      </c>
      <c r="AB761" s="1" t="s">
        <v>7677</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484</v>
      </c>
      <c r="AP761" s="1" t="s">
        <v>74</v>
      </c>
      <c r="AQ761" s="1" t="s">
        <v>74</v>
      </c>
      <c r="AR761" s="1" t="s">
        <v>74</v>
      </c>
      <c r="AS761" s="1" t="s">
        <v>74</v>
      </c>
      <c r="AT761" s="1" t="s">
        <v>7678</v>
      </c>
      <c r="AU761" s="1">
        <v>2020.0</v>
      </c>
      <c r="AV761" s="1">
        <v>10.0</v>
      </c>
      <c r="AW761" s="1">
        <v>1.0</v>
      </c>
      <c r="AX761" s="1" t="s">
        <v>74</v>
      </c>
      <c r="AY761" s="1" t="s">
        <v>74</v>
      </c>
      <c r="AZ761" s="1" t="s">
        <v>74</v>
      </c>
      <c r="BA761" s="1" t="s">
        <v>74</v>
      </c>
      <c r="BB761" s="1" t="s">
        <v>74</v>
      </c>
      <c r="BC761" s="1" t="s">
        <v>74</v>
      </c>
      <c r="BD761" s="1">
        <v>7771.0</v>
      </c>
      <c r="BE761" s="1" t="s">
        <v>7679</v>
      </c>
      <c r="BF761" s="2" t="str">
        <f>HYPERLINK("http://dx.doi.org/10.1038/s41598-020-64678-x","http://dx.doi.org/10.1038/s41598-020-64678-x")</f>
        <v>http://dx.doi.org/10.1038/s41598-020-64678-x</v>
      </c>
      <c r="BG761" s="1" t="s">
        <v>74</v>
      </c>
      <c r="BH761" s="1" t="s">
        <v>74</v>
      </c>
      <c r="BI761" s="1" t="s">
        <v>74</v>
      </c>
      <c r="BJ761" s="1" t="s">
        <v>74</v>
      </c>
      <c r="BK761" s="1" t="s">
        <v>74</v>
      </c>
      <c r="BL761" s="1" t="s">
        <v>74</v>
      </c>
      <c r="BM761" s="1" t="s">
        <v>74</v>
      </c>
      <c r="BN761" s="1">
        <v>3.238531E7</v>
      </c>
      <c r="BO761" s="1" t="s">
        <v>74</v>
      </c>
      <c r="BP761" s="1" t="s">
        <v>74</v>
      </c>
      <c r="BQ761" s="1" t="s">
        <v>74</v>
      </c>
      <c r="BR761" s="1" t="s">
        <v>74</v>
      </c>
      <c r="BS761" s="1" t="s">
        <v>7680</v>
      </c>
      <c r="BT761" s="1" t="str">
        <f>HYPERLINK("https%3A%2F%2Fwww.webofscience.com%2Fwos%2Fwoscc%2Ffull-record%2FWOS:000560352200024","View Full Record in Web of Science")</f>
        <v>View Full Record in Web of Science</v>
      </c>
    </row>
    <row r="762" ht="12.75" customHeight="1">
      <c r="A762" s="1" t="s">
        <v>72</v>
      </c>
      <c r="B762" s="1" t="s">
        <v>7681</v>
      </c>
      <c r="C762" s="1" t="s">
        <v>74</v>
      </c>
      <c r="D762" s="1" t="s">
        <v>74</v>
      </c>
      <c r="E762" s="1" t="s">
        <v>74</v>
      </c>
      <c r="F762" s="1" t="s">
        <v>7682</v>
      </c>
      <c r="G762" s="1" t="s">
        <v>74</v>
      </c>
      <c r="H762" s="1" t="s">
        <v>74</v>
      </c>
      <c r="I762" s="1" t="s">
        <v>7683</v>
      </c>
      <c r="J762" s="1" t="s">
        <v>2532</v>
      </c>
      <c r="K762" s="1" t="s">
        <v>74</v>
      </c>
      <c r="L762" s="1" t="s">
        <v>74</v>
      </c>
      <c r="M762" s="1" t="s">
        <v>74</v>
      </c>
      <c r="N762" s="1" t="s">
        <v>74</v>
      </c>
      <c r="O762" s="1" t="s">
        <v>74</v>
      </c>
      <c r="P762" s="1" t="s">
        <v>74</v>
      </c>
      <c r="Q762" s="1" t="s">
        <v>74</v>
      </c>
      <c r="R762" s="1" t="s">
        <v>74</v>
      </c>
      <c r="S762" s="1" t="s">
        <v>74</v>
      </c>
      <c r="T762" s="1" t="s">
        <v>74</v>
      </c>
      <c r="U762" s="1" t="s">
        <v>74</v>
      </c>
      <c r="V762" s="1" t="s">
        <v>7684</v>
      </c>
      <c r="W762" s="1" t="s">
        <v>74</v>
      </c>
      <c r="X762" s="1" t="s">
        <v>74</v>
      </c>
      <c r="Y762" s="1" t="s">
        <v>74</v>
      </c>
      <c r="Z762" s="1" t="s">
        <v>74</v>
      </c>
      <c r="AA762" s="1" t="s">
        <v>7685</v>
      </c>
      <c r="AB762" s="1" t="s">
        <v>7686</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2536</v>
      </c>
      <c r="AP762" s="1" t="s">
        <v>2537</v>
      </c>
      <c r="AQ762" s="1" t="s">
        <v>74</v>
      </c>
      <c r="AR762" s="1" t="s">
        <v>74</v>
      </c>
      <c r="AS762" s="1" t="s">
        <v>74</v>
      </c>
      <c r="AT762" s="1" t="s">
        <v>2406</v>
      </c>
      <c r="AU762" s="1">
        <v>2008.0</v>
      </c>
      <c r="AV762" s="1">
        <v>361.0</v>
      </c>
      <c r="AW762" s="1" t="s">
        <v>7687</v>
      </c>
      <c r="AX762" s="1" t="s">
        <v>74</v>
      </c>
      <c r="AY762" s="1" t="s">
        <v>74</v>
      </c>
      <c r="AZ762" s="1" t="s">
        <v>74</v>
      </c>
      <c r="BA762" s="1" t="s">
        <v>74</v>
      </c>
      <c r="BB762" s="1">
        <v>3681.0</v>
      </c>
      <c r="BC762" s="1">
        <v>3689.0</v>
      </c>
      <c r="BD762" s="1" t="s">
        <v>74</v>
      </c>
      <c r="BE762" s="1" t="s">
        <v>7688</v>
      </c>
      <c r="BF762" s="2" t="str">
        <f>HYPERLINK("http://dx.doi.org/10.1016/j.ica.2008.03.098","http://dx.doi.org/10.1016/j.ica.2008.03.098")</f>
        <v>http://dx.doi.org/10.1016/j.ica.2008.03.098</v>
      </c>
      <c r="BG762" s="1" t="s">
        <v>74</v>
      </c>
      <c r="BH762" s="1" t="s">
        <v>74</v>
      </c>
      <c r="BI762" s="1" t="s">
        <v>74</v>
      </c>
      <c r="BJ762" s="1" t="s">
        <v>74</v>
      </c>
      <c r="BK762" s="1" t="s">
        <v>74</v>
      </c>
      <c r="BL762" s="1" t="s">
        <v>74</v>
      </c>
      <c r="BM762" s="1" t="s">
        <v>74</v>
      </c>
      <c r="BN762" s="1" t="s">
        <v>74</v>
      </c>
      <c r="BO762" s="1" t="s">
        <v>74</v>
      </c>
      <c r="BP762" s="1" t="s">
        <v>74</v>
      </c>
      <c r="BQ762" s="1" t="s">
        <v>74</v>
      </c>
      <c r="BR762" s="1" t="s">
        <v>74</v>
      </c>
      <c r="BS762" s="1" t="s">
        <v>7689</v>
      </c>
      <c r="BT762" s="1" t="str">
        <f>HYPERLINK("https%3A%2F%2Fwww.webofscience.com%2Fwos%2Fwoscc%2Ffull-record%2FWOS:000258394200049","View Full Record in Web of Science")</f>
        <v>View Full Record in Web of Science</v>
      </c>
    </row>
    <row r="763" ht="12.75" customHeight="1">
      <c r="A763" s="1" t="s">
        <v>72</v>
      </c>
      <c r="B763" s="1" t="s">
        <v>7690</v>
      </c>
      <c r="C763" s="1" t="s">
        <v>74</v>
      </c>
      <c r="D763" s="1" t="s">
        <v>74</v>
      </c>
      <c r="E763" s="1" t="s">
        <v>74</v>
      </c>
      <c r="F763" s="1" t="s">
        <v>7691</v>
      </c>
      <c r="G763" s="1" t="s">
        <v>74</v>
      </c>
      <c r="H763" s="1" t="s">
        <v>74</v>
      </c>
      <c r="I763" s="1" t="s">
        <v>7692</v>
      </c>
      <c r="J763" s="1" t="s">
        <v>1003</v>
      </c>
      <c r="K763" s="1" t="s">
        <v>74</v>
      </c>
      <c r="L763" s="1" t="s">
        <v>74</v>
      </c>
      <c r="M763" s="1" t="s">
        <v>74</v>
      </c>
      <c r="N763" s="1" t="s">
        <v>74</v>
      </c>
      <c r="O763" s="1" t="s">
        <v>74</v>
      </c>
      <c r="P763" s="1" t="s">
        <v>74</v>
      </c>
      <c r="Q763" s="1" t="s">
        <v>74</v>
      </c>
      <c r="R763" s="1" t="s">
        <v>74</v>
      </c>
      <c r="S763" s="1" t="s">
        <v>74</v>
      </c>
      <c r="T763" s="1" t="s">
        <v>74</v>
      </c>
      <c r="U763" s="1" t="s">
        <v>74</v>
      </c>
      <c r="V763" s="1" t="s">
        <v>7693</v>
      </c>
      <c r="W763" s="1" t="s">
        <v>74</v>
      </c>
      <c r="X763" s="1" t="s">
        <v>74</v>
      </c>
      <c r="Y763" s="1" t="s">
        <v>74</v>
      </c>
      <c r="Z763" s="1" t="s">
        <v>74</v>
      </c>
      <c r="AA763" s="1" t="s">
        <v>2238</v>
      </c>
      <c r="AB763" s="1" t="s">
        <v>7694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1006</v>
      </c>
      <c r="AP763" s="1" t="s">
        <v>1007</v>
      </c>
      <c r="AQ763" s="1" t="s">
        <v>74</v>
      </c>
      <c r="AR763" s="1" t="s">
        <v>74</v>
      </c>
      <c r="AS763" s="1" t="s">
        <v>74</v>
      </c>
      <c r="AT763" s="1" t="s">
        <v>346</v>
      </c>
      <c r="AU763" s="1">
        <v>2020.0</v>
      </c>
      <c r="AV763" s="1">
        <v>148.0</v>
      </c>
      <c r="AW763" s="1">
        <v>3.0</v>
      </c>
      <c r="AX763" s="1" t="s">
        <v>74</v>
      </c>
      <c r="AY763" s="1" t="s">
        <v>74</v>
      </c>
      <c r="AZ763" s="1" t="s">
        <v>74</v>
      </c>
      <c r="BA763" s="1" t="s">
        <v>74</v>
      </c>
      <c r="BB763" s="1">
        <v>336.0</v>
      </c>
      <c r="BC763" s="1">
        <v>343.0</v>
      </c>
      <c r="BD763" s="1" t="s">
        <v>74</v>
      </c>
      <c r="BE763" s="1" t="s">
        <v>74</v>
      </c>
      <c r="BF763" s="1" t="s">
        <v>74</v>
      </c>
      <c r="BG763" s="1" t="s">
        <v>74</v>
      </c>
      <c r="BH763" s="1" t="s">
        <v>74</v>
      </c>
      <c r="BI763" s="1" t="s">
        <v>74</v>
      </c>
      <c r="BJ763" s="1" t="s">
        <v>74</v>
      </c>
      <c r="BK763" s="1" t="s">
        <v>74</v>
      </c>
      <c r="BL763" s="1" t="s">
        <v>74</v>
      </c>
      <c r="BM763" s="1" t="s">
        <v>74</v>
      </c>
      <c r="BN763" s="1">
        <v>3.2730378E7</v>
      </c>
      <c r="BO763" s="1" t="s">
        <v>74</v>
      </c>
      <c r="BP763" s="1" t="s">
        <v>74</v>
      </c>
      <c r="BQ763" s="1" t="s">
        <v>74</v>
      </c>
      <c r="BR763" s="1" t="s">
        <v>74</v>
      </c>
      <c r="BS763" s="1" t="s">
        <v>7695</v>
      </c>
      <c r="BT763" s="1" t="str">
        <f>HYPERLINK("https%3A%2F%2Fwww.webofscience.com%2Fwos%2Fwoscc%2Ffull-record%2FWOS:000542619300009","View Full Record in Web of Science")</f>
        <v>View Full Record in Web of Science</v>
      </c>
    </row>
    <row r="764" ht="12.75" customHeight="1">
      <c r="A764" s="1" t="s">
        <v>72</v>
      </c>
      <c r="B764" s="1" t="s">
        <v>7696</v>
      </c>
      <c r="C764" s="1" t="s">
        <v>74</v>
      </c>
      <c r="D764" s="1" t="s">
        <v>74</v>
      </c>
      <c r="E764" s="1" t="s">
        <v>74</v>
      </c>
      <c r="F764" s="1" t="s">
        <v>7697</v>
      </c>
      <c r="G764" s="1" t="s">
        <v>74</v>
      </c>
      <c r="H764" s="1" t="s">
        <v>74</v>
      </c>
      <c r="I764" s="1" t="s">
        <v>7698</v>
      </c>
      <c r="J764" s="1" t="s">
        <v>739</v>
      </c>
      <c r="K764" s="1" t="s">
        <v>74</v>
      </c>
      <c r="L764" s="1" t="s">
        <v>74</v>
      </c>
      <c r="M764" s="1" t="s">
        <v>74</v>
      </c>
      <c r="N764" s="1" t="s">
        <v>74</v>
      </c>
      <c r="O764" s="1" t="s">
        <v>74</v>
      </c>
      <c r="P764" s="1" t="s">
        <v>74</v>
      </c>
      <c r="Q764" s="1" t="s">
        <v>74</v>
      </c>
      <c r="R764" s="1" t="s">
        <v>74</v>
      </c>
      <c r="S764" s="1" t="s">
        <v>74</v>
      </c>
      <c r="T764" s="1" t="s">
        <v>74</v>
      </c>
      <c r="U764" s="1" t="s">
        <v>74</v>
      </c>
      <c r="V764" s="1" t="s">
        <v>7699</v>
      </c>
      <c r="W764" s="1" t="s">
        <v>74</v>
      </c>
      <c r="X764" s="1" t="s">
        <v>74</v>
      </c>
      <c r="Y764" s="1" t="s">
        <v>74</v>
      </c>
      <c r="Z764" s="1" t="s">
        <v>74</v>
      </c>
      <c r="AA764" s="1" t="s">
        <v>7700</v>
      </c>
      <c r="AB764" s="1" t="s">
        <v>7701</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743</v>
      </c>
      <c r="AP764" s="1" t="s">
        <v>744</v>
      </c>
      <c r="AQ764" s="1" t="s">
        <v>74</v>
      </c>
      <c r="AR764" s="1" t="s">
        <v>74</v>
      </c>
      <c r="AS764" s="1" t="s">
        <v>74</v>
      </c>
      <c r="AT764" s="1" t="s">
        <v>2705</v>
      </c>
      <c r="AU764" s="1">
        <v>2020.0</v>
      </c>
      <c r="AV764" s="1">
        <v>102.0</v>
      </c>
      <c r="AW764" s="1">
        <v>10.0</v>
      </c>
      <c r="AX764" s="1" t="s">
        <v>74</v>
      </c>
      <c r="AY764" s="1" t="s">
        <v>74</v>
      </c>
      <c r="AZ764" s="1" t="s">
        <v>74</v>
      </c>
      <c r="BA764" s="1" t="s">
        <v>74</v>
      </c>
      <c r="BB764" s="1" t="s">
        <v>74</v>
      </c>
      <c r="BC764" s="1" t="s">
        <v>74</v>
      </c>
      <c r="BD764" s="1">
        <v>104411.0</v>
      </c>
      <c r="BE764" s="1" t="s">
        <v>7702</v>
      </c>
      <c r="BF764" s="2" t="str">
        <f>HYPERLINK("http://dx.doi.org/10.1103/PhysRevB.102.104411","http://dx.doi.org/10.1103/PhysRevB.102.104411")</f>
        <v>http://dx.doi.org/10.1103/PhysRevB.102.104411</v>
      </c>
      <c r="BG764" s="1" t="s">
        <v>74</v>
      </c>
      <c r="BH764" s="1" t="s">
        <v>74</v>
      </c>
      <c r="BI764" s="1" t="s">
        <v>74</v>
      </c>
      <c r="BJ764" s="1" t="s">
        <v>74</v>
      </c>
      <c r="BK764" s="1" t="s">
        <v>74</v>
      </c>
      <c r="BL764" s="1" t="s">
        <v>74</v>
      </c>
      <c r="BM764" s="1" t="s">
        <v>74</v>
      </c>
      <c r="BN764" s="1" t="s">
        <v>74</v>
      </c>
      <c r="BO764" s="1" t="s">
        <v>74</v>
      </c>
      <c r="BP764" s="1" t="s">
        <v>74</v>
      </c>
      <c r="BQ764" s="1" t="s">
        <v>74</v>
      </c>
      <c r="BR764" s="1" t="s">
        <v>74</v>
      </c>
      <c r="BS764" s="1" t="s">
        <v>7703</v>
      </c>
      <c r="BT764" s="1" t="str">
        <f>HYPERLINK("https%3A%2F%2Fwww.webofscience.com%2Fwos%2Fwoscc%2Ffull-record%2FWOS:000566887300007","View Full Record in Web of Science")</f>
        <v>View Full Record in Web of Science</v>
      </c>
    </row>
    <row r="765" ht="12.75" customHeight="1">
      <c r="A765" s="1" t="s">
        <v>72</v>
      </c>
      <c r="B765" s="1" t="s">
        <v>7704</v>
      </c>
      <c r="C765" s="1" t="s">
        <v>74</v>
      </c>
      <c r="D765" s="1" t="s">
        <v>74</v>
      </c>
      <c r="E765" s="1" t="s">
        <v>74</v>
      </c>
      <c r="F765" s="1" t="s">
        <v>7705</v>
      </c>
      <c r="G765" s="1" t="s">
        <v>74</v>
      </c>
      <c r="H765" s="1" t="s">
        <v>74</v>
      </c>
      <c r="I765" s="1" t="s">
        <v>7706</v>
      </c>
      <c r="J765" s="1" t="s">
        <v>7513</v>
      </c>
      <c r="K765" s="1" t="s">
        <v>74</v>
      </c>
      <c r="L765" s="1" t="s">
        <v>74</v>
      </c>
      <c r="M765" s="1" t="s">
        <v>74</v>
      </c>
      <c r="N765" s="1" t="s">
        <v>74</v>
      </c>
      <c r="O765" s="1" t="s">
        <v>74</v>
      </c>
      <c r="P765" s="1" t="s">
        <v>74</v>
      </c>
      <c r="Q765" s="1" t="s">
        <v>74</v>
      </c>
      <c r="R765" s="1" t="s">
        <v>74</v>
      </c>
      <c r="S765" s="1" t="s">
        <v>74</v>
      </c>
      <c r="T765" s="1" t="s">
        <v>74</v>
      </c>
      <c r="U765" s="1" t="s">
        <v>74</v>
      </c>
      <c r="V765" s="1" t="s">
        <v>7707</v>
      </c>
      <c r="W765" s="1" t="s">
        <v>74</v>
      </c>
      <c r="X765" s="1" t="s">
        <v>74</v>
      </c>
      <c r="Y765" s="1" t="s">
        <v>74</v>
      </c>
      <c r="Z765" s="1" t="s">
        <v>74</v>
      </c>
      <c r="AA765" s="1" t="s">
        <v>7708</v>
      </c>
      <c r="AB765" s="1" t="s">
        <v>7516</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7517</v>
      </c>
      <c r="AP765" s="1" t="s">
        <v>74</v>
      </c>
      <c r="AQ765" s="1" t="s">
        <v>74</v>
      </c>
      <c r="AR765" s="1" t="s">
        <v>74</v>
      </c>
      <c r="AS765" s="1" t="s">
        <v>74</v>
      </c>
      <c r="AT765" s="1" t="s">
        <v>74</v>
      </c>
      <c r="AU765" s="1">
        <v>2020.0</v>
      </c>
      <c r="AV765" s="1">
        <v>36.0</v>
      </c>
      <c r="AW765" s="1">
        <v>6.0</v>
      </c>
      <c r="AX765" s="1" t="s">
        <v>74</v>
      </c>
      <c r="AY765" s="1" t="s">
        <v>74</v>
      </c>
      <c r="AZ765" s="1" t="s">
        <v>74</v>
      </c>
      <c r="BA765" s="1" t="s">
        <v>74</v>
      </c>
      <c r="BB765" s="1">
        <v>1773.0</v>
      </c>
      <c r="BC765" s="1">
        <v>1782.0</v>
      </c>
      <c r="BD765" s="1" t="s">
        <v>74</v>
      </c>
      <c r="BE765" s="1" t="s">
        <v>74</v>
      </c>
      <c r="BF765" s="1" t="s">
        <v>74</v>
      </c>
      <c r="BG765" s="1" t="s">
        <v>74</v>
      </c>
      <c r="BH765" s="1" t="s">
        <v>74</v>
      </c>
      <c r="BI765" s="1" t="s">
        <v>74</v>
      </c>
      <c r="BJ765" s="1" t="s">
        <v>74</v>
      </c>
      <c r="BK765" s="1" t="s">
        <v>74</v>
      </c>
      <c r="BL765" s="1" t="s">
        <v>74</v>
      </c>
      <c r="BM765" s="1" t="s">
        <v>74</v>
      </c>
      <c r="BN765" s="1" t="s">
        <v>74</v>
      </c>
      <c r="BO765" s="1" t="s">
        <v>74</v>
      </c>
      <c r="BP765" s="1" t="s">
        <v>74</v>
      </c>
      <c r="BQ765" s="1" t="s">
        <v>74</v>
      </c>
      <c r="BR765" s="1" t="s">
        <v>74</v>
      </c>
      <c r="BS765" s="1" t="s">
        <v>7709</v>
      </c>
      <c r="BT765" s="1" t="str">
        <f>HYPERLINK("https%3A%2F%2Fwww.webofscience.com%2Fwos%2Fwoscc%2Ffull-record%2FWOS:000583207300006","View Full Record in Web of Science")</f>
        <v>View Full Record in Web of Science</v>
      </c>
    </row>
    <row r="766" ht="12.75" customHeight="1">
      <c r="A766" s="1" t="s">
        <v>72</v>
      </c>
      <c r="B766" s="1" t="s">
        <v>7710</v>
      </c>
      <c r="C766" s="1" t="s">
        <v>74</v>
      </c>
      <c r="D766" s="1" t="s">
        <v>74</v>
      </c>
      <c r="E766" s="1" t="s">
        <v>74</v>
      </c>
      <c r="F766" s="1" t="s">
        <v>7711</v>
      </c>
      <c r="G766" s="1" t="s">
        <v>74</v>
      </c>
      <c r="H766" s="1" t="s">
        <v>74</v>
      </c>
      <c r="I766" s="1" t="s">
        <v>7712</v>
      </c>
      <c r="J766" s="1" t="s">
        <v>7713</v>
      </c>
      <c r="K766" s="1" t="s">
        <v>74</v>
      </c>
      <c r="L766" s="1" t="s">
        <v>74</v>
      </c>
      <c r="M766" s="1" t="s">
        <v>74</v>
      </c>
      <c r="N766" s="1" t="s">
        <v>74</v>
      </c>
      <c r="O766" s="1" t="s">
        <v>74</v>
      </c>
      <c r="P766" s="1" t="s">
        <v>74</v>
      </c>
      <c r="Q766" s="1" t="s">
        <v>74</v>
      </c>
      <c r="R766" s="1" t="s">
        <v>74</v>
      </c>
      <c r="S766" s="1" t="s">
        <v>74</v>
      </c>
      <c r="T766" s="1" t="s">
        <v>74</v>
      </c>
      <c r="U766" s="1" t="s">
        <v>74</v>
      </c>
      <c r="V766" s="1" t="s">
        <v>7714</v>
      </c>
      <c r="W766" s="1" t="s">
        <v>74</v>
      </c>
      <c r="X766" s="1" t="s">
        <v>74</v>
      </c>
      <c r="Y766" s="1" t="s">
        <v>74</v>
      </c>
      <c r="Z766" s="1" t="s">
        <v>74</v>
      </c>
      <c r="AA766" s="1" t="s">
        <v>7715</v>
      </c>
      <c r="AB766" s="1" t="s">
        <v>74</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7716</v>
      </c>
      <c r="AP766" s="1" t="s">
        <v>7717</v>
      </c>
      <c r="AQ766" s="1" t="s">
        <v>74</v>
      </c>
      <c r="AR766" s="1" t="s">
        <v>74</v>
      </c>
      <c r="AS766" s="1" t="s">
        <v>74</v>
      </c>
      <c r="AT766" s="1" t="s">
        <v>141</v>
      </c>
      <c r="AU766" s="1">
        <v>2025.0</v>
      </c>
      <c r="AV766" s="1">
        <v>189.0</v>
      </c>
      <c r="AW766" s="1" t="s">
        <v>74</v>
      </c>
      <c r="AX766" s="1" t="s">
        <v>74</v>
      </c>
      <c r="AY766" s="1" t="s">
        <v>74</v>
      </c>
      <c r="AZ766" s="1" t="s">
        <v>74</v>
      </c>
      <c r="BA766" s="1" t="s">
        <v>74</v>
      </c>
      <c r="BB766" s="1" t="s">
        <v>74</v>
      </c>
      <c r="BC766" s="1" t="s">
        <v>74</v>
      </c>
      <c r="BD766" s="1">
        <v>113430.0</v>
      </c>
      <c r="BE766" s="1" t="s">
        <v>7718</v>
      </c>
      <c r="BF766" s="2" t="str">
        <f>HYPERLINK("http://dx.doi.org/10.1016/j.materresbull.2025.113430","http://dx.doi.org/10.1016/j.materresbull.2025.113430")</f>
        <v>http://dx.doi.org/10.1016/j.materresbull.2025.113430</v>
      </c>
      <c r="BG766" s="1" t="s">
        <v>74</v>
      </c>
      <c r="BH766" s="1" t="s">
        <v>4881</v>
      </c>
      <c r="BI766" s="1" t="s">
        <v>74</v>
      </c>
      <c r="BJ766" s="1" t="s">
        <v>74</v>
      </c>
      <c r="BK766" s="1" t="s">
        <v>74</v>
      </c>
      <c r="BL766" s="1" t="s">
        <v>74</v>
      </c>
      <c r="BM766" s="1" t="s">
        <v>74</v>
      </c>
      <c r="BN766" s="1" t="s">
        <v>74</v>
      </c>
      <c r="BO766" s="1" t="s">
        <v>74</v>
      </c>
      <c r="BP766" s="1" t="s">
        <v>74</v>
      </c>
      <c r="BQ766" s="1" t="s">
        <v>74</v>
      </c>
      <c r="BR766" s="1" t="s">
        <v>74</v>
      </c>
      <c r="BS766" s="1" t="s">
        <v>7719</v>
      </c>
      <c r="BT766" s="1" t="str">
        <f>HYPERLINK("https%3A%2F%2Fwww.webofscience.com%2Fwos%2Fwoscc%2Ffull-record%2FWOS:001455324100001","View Full Record in Web of Science")</f>
        <v>View Full Record in Web of Science</v>
      </c>
    </row>
    <row r="767" ht="12.75" customHeight="1">
      <c r="A767" s="1" t="s">
        <v>72</v>
      </c>
      <c r="B767" s="1" t="s">
        <v>7720</v>
      </c>
      <c r="C767" s="1" t="s">
        <v>74</v>
      </c>
      <c r="D767" s="1" t="s">
        <v>74</v>
      </c>
      <c r="E767" s="1" t="s">
        <v>74</v>
      </c>
      <c r="F767" s="1" t="s">
        <v>7721</v>
      </c>
      <c r="G767" s="1" t="s">
        <v>74</v>
      </c>
      <c r="H767" s="1" t="s">
        <v>74</v>
      </c>
      <c r="I767" s="1" t="s">
        <v>7722</v>
      </c>
      <c r="J767" s="1" t="s">
        <v>3792</v>
      </c>
      <c r="K767" s="1" t="s">
        <v>74</v>
      </c>
      <c r="L767" s="1" t="s">
        <v>74</v>
      </c>
      <c r="M767" s="1" t="s">
        <v>74</v>
      </c>
      <c r="N767" s="1" t="s">
        <v>74</v>
      </c>
      <c r="O767" s="1" t="s">
        <v>74</v>
      </c>
      <c r="P767" s="1" t="s">
        <v>74</v>
      </c>
      <c r="Q767" s="1" t="s">
        <v>74</v>
      </c>
      <c r="R767" s="1" t="s">
        <v>74</v>
      </c>
      <c r="S767" s="1" t="s">
        <v>74</v>
      </c>
      <c r="T767" s="1" t="s">
        <v>74</v>
      </c>
      <c r="U767" s="1" t="s">
        <v>74</v>
      </c>
      <c r="V767" s="1" t="s">
        <v>7723</v>
      </c>
      <c r="W767" s="1" t="s">
        <v>74</v>
      </c>
      <c r="X767" s="1" t="s">
        <v>74</v>
      </c>
      <c r="Y767" s="1" t="s">
        <v>74</v>
      </c>
      <c r="Z767" s="1" t="s">
        <v>74</v>
      </c>
      <c r="AA767" s="1" t="s">
        <v>7724</v>
      </c>
      <c r="AB767" s="1" t="s">
        <v>7725</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3796</v>
      </c>
      <c r="AP767" s="1" t="s">
        <v>3797</v>
      </c>
      <c r="AQ767" s="1" t="s">
        <v>74</v>
      </c>
      <c r="AR767" s="1" t="s">
        <v>74</v>
      </c>
      <c r="AS767" s="1" t="s">
        <v>74</v>
      </c>
      <c r="AT767" s="1" t="s">
        <v>1505</v>
      </c>
      <c r="AU767" s="1">
        <v>2020.0</v>
      </c>
      <c r="AV767" s="1">
        <v>208.0</v>
      </c>
      <c r="AW767" s="1" t="s">
        <v>74</v>
      </c>
      <c r="AX767" s="1" t="s">
        <v>74</v>
      </c>
      <c r="AY767" s="1" t="s">
        <v>74</v>
      </c>
      <c r="AZ767" s="1" t="s">
        <v>74</v>
      </c>
      <c r="BA767" s="1" t="s">
        <v>74</v>
      </c>
      <c r="BB767" s="1" t="s">
        <v>74</v>
      </c>
      <c r="BC767" s="1" t="s">
        <v>74</v>
      </c>
      <c r="BD767" s="1">
        <v>105377.0</v>
      </c>
      <c r="BE767" s="1" t="s">
        <v>7726</v>
      </c>
      <c r="BF767" s="2" t="str">
        <f>HYPERLINK("http://dx.doi.org/10.1016/j.jastp.2020.105377","http://dx.doi.org/10.1016/j.jastp.2020.105377")</f>
        <v>http://dx.doi.org/10.1016/j.jastp.2020.105377</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7727</v>
      </c>
      <c r="BT767" s="1" t="str">
        <f>HYPERLINK("https%3A%2F%2Fwww.webofscience.com%2Fwos%2Fwoscc%2Ffull-record%2FWOS:000569133800005","View Full Record in Web of Science")</f>
        <v>View Full Record in Web of Science</v>
      </c>
    </row>
    <row r="768" ht="12.75" customHeight="1">
      <c r="A768" s="1" t="s">
        <v>72</v>
      </c>
      <c r="B768" s="1" t="s">
        <v>7728</v>
      </c>
      <c r="C768" s="1" t="s">
        <v>74</v>
      </c>
      <c r="D768" s="1" t="s">
        <v>74</v>
      </c>
      <c r="E768" s="1" t="s">
        <v>74</v>
      </c>
      <c r="F768" s="1" t="s">
        <v>7729</v>
      </c>
      <c r="G768" s="1" t="s">
        <v>74</v>
      </c>
      <c r="H768" s="1" t="s">
        <v>74</v>
      </c>
      <c r="I768" s="1" t="s">
        <v>7730</v>
      </c>
      <c r="J768" s="1" t="s">
        <v>7731</v>
      </c>
      <c r="K768" s="1" t="s">
        <v>74</v>
      </c>
      <c r="L768" s="1" t="s">
        <v>74</v>
      </c>
      <c r="M768" s="1" t="s">
        <v>74</v>
      </c>
      <c r="N768" s="1" t="s">
        <v>74</v>
      </c>
      <c r="O768" s="1" t="s">
        <v>74</v>
      </c>
      <c r="P768" s="1" t="s">
        <v>74</v>
      </c>
      <c r="Q768" s="1" t="s">
        <v>74</v>
      </c>
      <c r="R768" s="1" t="s">
        <v>74</v>
      </c>
      <c r="S768" s="1" t="s">
        <v>74</v>
      </c>
      <c r="T768" s="1" t="s">
        <v>74</v>
      </c>
      <c r="U768" s="1" t="s">
        <v>74</v>
      </c>
      <c r="V768" s="1" t="s">
        <v>7732</v>
      </c>
      <c r="W768" s="1" t="s">
        <v>74</v>
      </c>
      <c r="X768" s="1" t="s">
        <v>74</v>
      </c>
      <c r="Y768" s="1" t="s">
        <v>74</v>
      </c>
      <c r="Z768" s="1" t="s">
        <v>74</v>
      </c>
      <c r="AA768" s="1" t="s">
        <v>7733</v>
      </c>
      <c r="AB768" s="1" t="s">
        <v>7734</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7735</v>
      </c>
      <c r="AP768" s="1" t="s">
        <v>7736</v>
      </c>
      <c r="AQ768" s="1" t="s">
        <v>74</v>
      </c>
      <c r="AR768" s="1" t="s">
        <v>74</v>
      </c>
      <c r="AS768" s="1" t="s">
        <v>74</v>
      </c>
      <c r="AT768" s="1" t="s">
        <v>94</v>
      </c>
      <c r="AU768" s="1">
        <v>2021.0</v>
      </c>
      <c r="AV768" s="1">
        <v>131.0</v>
      </c>
      <c r="AW768" s="1" t="s">
        <v>74</v>
      </c>
      <c r="AX768" s="1" t="s">
        <v>74</v>
      </c>
      <c r="AY768" s="1" t="s">
        <v>74</v>
      </c>
      <c r="AZ768" s="1" t="s">
        <v>74</v>
      </c>
      <c r="BA768" s="1" t="s">
        <v>74</v>
      </c>
      <c r="BB768" s="1">
        <v>1076.0</v>
      </c>
      <c r="BC768" s="1">
        <v>1095.0</v>
      </c>
      <c r="BD768" s="1" t="s">
        <v>74</v>
      </c>
      <c r="BE768" s="1" t="s">
        <v>7737</v>
      </c>
      <c r="BF768" s="2" t="str">
        <f>HYPERLINK("http://dx.doi.org/10.1016/j.neubiorev.2021.10.015","http://dx.doi.org/10.1016/j.neubiorev.2021.10.015")</f>
        <v>http://dx.doi.org/10.1016/j.neubiorev.2021.10.015</v>
      </c>
      <c r="BG768" s="1" t="s">
        <v>74</v>
      </c>
      <c r="BH768" s="1" t="s">
        <v>2840</v>
      </c>
      <c r="BI768" s="1" t="s">
        <v>74</v>
      </c>
      <c r="BJ768" s="1" t="s">
        <v>74</v>
      </c>
      <c r="BK768" s="1" t="s">
        <v>74</v>
      </c>
      <c r="BL768" s="1" t="s">
        <v>74</v>
      </c>
      <c r="BM768" s="1" t="s">
        <v>74</v>
      </c>
      <c r="BN768" s="1">
        <v>3.4673112E7</v>
      </c>
      <c r="BO768" s="1" t="s">
        <v>74</v>
      </c>
      <c r="BP768" s="1" t="s">
        <v>74</v>
      </c>
      <c r="BQ768" s="1" t="s">
        <v>74</v>
      </c>
      <c r="BR768" s="1" t="s">
        <v>74</v>
      </c>
      <c r="BS768" s="1" t="s">
        <v>7738</v>
      </c>
      <c r="BT768" s="1" t="str">
        <f>HYPERLINK("https%3A%2F%2Fwww.webofscience.com%2Fwos%2Fwoscc%2Ffull-record%2FWOS:000715066900005","View Full Record in Web of Science")</f>
        <v>View Full Record in Web of Science</v>
      </c>
    </row>
    <row r="769" ht="12.75" customHeight="1">
      <c r="A769" s="1" t="s">
        <v>72</v>
      </c>
      <c r="B769" s="1" t="s">
        <v>7739</v>
      </c>
      <c r="C769" s="1" t="s">
        <v>74</v>
      </c>
      <c r="D769" s="1" t="s">
        <v>74</v>
      </c>
      <c r="E769" s="1" t="s">
        <v>74</v>
      </c>
      <c r="F769" s="1" t="s">
        <v>7740</v>
      </c>
      <c r="G769" s="1" t="s">
        <v>74</v>
      </c>
      <c r="H769" s="1" t="s">
        <v>74</v>
      </c>
      <c r="I769" s="1" t="s">
        <v>7741</v>
      </c>
      <c r="J769" s="1" t="s">
        <v>7742</v>
      </c>
      <c r="K769" s="1" t="s">
        <v>74</v>
      </c>
      <c r="L769" s="1" t="s">
        <v>74</v>
      </c>
      <c r="M769" s="1" t="s">
        <v>74</v>
      </c>
      <c r="N769" s="1" t="s">
        <v>74</v>
      </c>
      <c r="O769" s="1" t="s">
        <v>74</v>
      </c>
      <c r="P769" s="1" t="s">
        <v>74</v>
      </c>
      <c r="Q769" s="1" t="s">
        <v>74</v>
      </c>
      <c r="R769" s="1" t="s">
        <v>74</v>
      </c>
      <c r="S769" s="1" t="s">
        <v>74</v>
      </c>
      <c r="T769" s="1" t="s">
        <v>74</v>
      </c>
      <c r="U769" s="1" t="s">
        <v>74</v>
      </c>
      <c r="V769" s="1" t="s">
        <v>7743</v>
      </c>
      <c r="W769" s="1" t="s">
        <v>74</v>
      </c>
      <c r="X769" s="1" t="s">
        <v>74</v>
      </c>
      <c r="Y769" s="1" t="s">
        <v>74</v>
      </c>
      <c r="Z769" s="1" t="s">
        <v>74</v>
      </c>
      <c r="AA769" s="1" t="s">
        <v>7744</v>
      </c>
      <c r="AB769" s="1" t="s">
        <v>7745</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7746</v>
      </c>
      <c r="AP769" s="1" t="s">
        <v>7747</v>
      </c>
      <c r="AQ769" s="1" t="s">
        <v>74</v>
      </c>
      <c r="AR769" s="1" t="s">
        <v>74</v>
      </c>
      <c r="AS769" s="1" t="s">
        <v>74</v>
      </c>
      <c r="AT769" s="1" t="s">
        <v>745</v>
      </c>
      <c r="AU769" s="1">
        <v>2021.0</v>
      </c>
      <c r="AV769" s="1">
        <v>213.0</v>
      </c>
      <c r="AW769" s="1" t="s">
        <v>74</v>
      </c>
      <c r="AX769" s="1" t="s">
        <v>74</v>
      </c>
      <c r="AY769" s="1" t="s">
        <v>74</v>
      </c>
      <c r="AZ769" s="1" t="s">
        <v>74</v>
      </c>
      <c r="BA769" s="1" t="s">
        <v>74</v>
      </c>
      <c r="BB769" s="1" t="s">
        <v>74</v>
      </c>
      <c r="BC769" s="1" t="s">
        <v>74</v>
      </c>
      <c r="BD769" s="1">
        <v>116951.0</v>
      </c>
      <c r="BE769" s="1" t="s">
        <v>7748</v>
      </c>
      <c r="BF769" s="2" t="str">
        <f>HYPERLINK("http://dx.doi.org/10.1016/j.actamat.2021.116951","http://dx.doi.org/10.1016/j.actamat.2021.116951")</f>
        <v>http://dx.doi.org/10.1016/j.actamat.2021.116951</v>
      </c>
      <c r="BG769" s="1" t="s">
        <v>74</v>
      </c>
      <c r="BH769" s="1" t="s">
        <v>2303</v>
      </c>
      <c r="BI769" s="1" t="s">
        <v>74</v>
      </c>
      <c r="BJ769" s="1" t="s">
        <v>74</v>
      </c>
      <c r="BK769" s="1" t="s">
        <v>74</v>
      </c>
      <c r="BL769" s="1" t="s">
        <v>74</v>
      </c>
      <c r="BM769" s="1" t="s">
        <v>74</v>
      </c>
      <c r="BN769" s="1" t="s">
        <v>74</v>
      </c>
      <c r="BO769" s="1" t="s">
        <v>74</v>
      </c>
      <c r="BP769" s="1" t="s">
        <v>74</v>
      </c>
      <c r="BQ769" s="1" t="s">
        <v>74</v>
      </c>
      <c r="BR769" s="1" t="s">
        <v>74</v>
      </c>
      <c r="BS769" s="1" t="s">
        <v>7749</v>
      </c>
      <c r="BT769" s="1" t="str">
        <f>HYPERLINK("https%3A%2F%2Fwww.webofscience.com%2Fwos%2Fwoscc%2Ffull-record%2FWOS:000670078400006","View Full Record in Web of Science")</f>
        <v>View Full Record in Web of Science</v>
      </c>
    </row>
    <row r="770" ht="12.75" customHeight="1">
      <c r="A770" s="1" t="s">
        <v>72</v>
      </c>
      <c r="B770" s="1" t="s">
        <v>7750</v>
      </c>
      <c r="C770" s="1" t="s">
        <v>74</v>
      </c>
      <c r="D770" s="1" t="s">
        <v>74</v>
      </c>
      <c r="E770" s="1" t="s">
        <v>74</v>
      </c>
      <c r="F770" s="1" t="s">
        <v>7751</v>
      </c>
      <c r="G770" s="1" t="s">
        <v>74</v>
      </c>
      <c r="H770" s="1" t="s">
        <v>74</v>
      </c>
      <c r="I770" s="1" t="s">
        <v>7752</v>
      </c>
      <c r="J770" s="1" t="s">
        <v>5761</v>
      </c>
      <c r="K770" s="1" t="s">
        <v>74</v>
      </c>
      <c r="L770" s="1" t="s">
        <v>74</v>
      </c>
      <c r="M770" s="1" t="s">
        <v>74</v>
      </c>
      <c r="N770" s="1" t="s">
        <v>74</v>
      </c>
      <c r="O770" s="1" t="s">
        <v>74</v>
      </c>
      <c r="P770" s="1" t="s">
        <v>74</v>
      </c>
      <c r="Q770" s="1" t="s">
        <v>74</v>
      </c>
      <c r="R770" s="1" t="s">
        <v>74</v>
      </c>
      <c r="S770" s="1" t="s">
        <v>74</v>
      </c>
      <c r="T770" s="1" t="s">
        <v>74</v>
      </c>
      <c r="U770" s="1" t="s">
        <v>74</v>
      </c>
      <c r="V770" s="1" t="s">
        <v>7753</v>
      </c>
      <c r="W770" s="1" t="s">
        <v>74</v>
      </c>
      <c r="X770" s="1" t="s">
        <v>74</v>
      </c>
      <c r="Y770" s="1" t="s">
        <v>74</v>
      </c>
      <c r="Z770" s="1" t="s">
        <v>74</v>
      </c>
      <c r="AA770" s="1" t="s">
        <v>7754</v>
      </c>
      <c r="AB770" s="1" t="s">
        <v>7755</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5765</v>
      </c>
      <c r="AP770" s="1" t="s">
        <v>5766</v>
      </c>
      <c r="AQ770" s="1" t="s">
        <v>74</v>
      </c>
      <c r="AR770" s="1" t="s">
        <v>74</v>
      </c>
      <c r="AS770" s="1" t="s">
        <v>74</v>
      </c>
      <c r="AT770" s="1" t="s">
        <v>2406</v>
      </c>
      <c r="AU770" s="1">
        <v>2023.0</v>
      </c>
      <c r="AV770" s="1">
        <v>108.0</v>
      </c>
      <c r="AW770" s="1">
        <v>3.0</v>
      </c>
      <c r="AX770" s="1" t="s">
        <v>74</v>
      </c>
      <c r="AY770" s="1" t="s">
        <v>74</v>
      </c>
      <c r="AZ770" s="1" t="s">
        <v>74</v>
      </c>
      <c r="BA770" s="1" t="s">
        <v>74</v>
      </c>
      <c r="BB770" s="1" t="s">
        <v>74</v>
      </c>
      <c r="BC770" s="1" t="s">
        <v>74</v>
      </c>
      <c r="BD770" s="1" t="s">
        <v>7756</v>
      </c>
      <c r="BE770" s="1" t="s">
        <v>7757</v>
      </c>
      <c r="BF770" s="2" t="str">
        <f>HYPERLINK("http://dx.doi.org/10.1103/PhysRevA.108.L031701","http://dx.doi.org/10.1103/PhysRevA.108.L031701")</f>
        <v>http://dx.doi.org/10.1103/PhysRevA.108.L031701</v>
      </c>
      <c r="BG770" s="1" t="s">
        <v>74</v>
      </c>
      <c r="BH770" s="1" t="s">
        <v>74</v>
      </c>
      <c r="BI770" s="1" t="s">
        <v>74</v>
      </c>
      <c r="BJ770" s="1" t="s">
        <v>74</v>
      </c>
      <c r="BK770" s="1" t="s">
        <v>74</v>
      </c>
      <c r="BL770" s="1" t="s">
        <v>74</v>
      </c>
      <c r="BM770" s="1" t="s">
        <v>74</v>
      </c>
      <c r="BN770" s="1" t="s">
        <v>74</v>
      </c>
      <c r="BO770" s="1" t="s">
        <v>74</v>
      </c>
      <c r="BP770" s="1" t="s">
        <v>74</v>
      </c>
      <c r="BQ770" s="1" t="s">
        <v>74</v>
      </c>
      <c r="BR770" s="1" t="s">
        <v>74</v>
      </c>
      <c r="BS770" s="1" t="s">
        <v>7758</v>
      </c>
      <c r="BT770" s="1" t="str">
        <f>HYPERLINK("https%3A%2F%2Fwww.webofscience.com%2Fwos%2Fwoscc%2Ffull-record%2FWOS:001103703800003","View Full Record in Web of Science")</f>
        <v>View Full Record in Web of Science</v>
      </c>
    </row>
    <row r="771" ht="12.75" customHeight="1">
      <c r="A771" s="1" t="s">
        <v>72</v>
      </c>
      <c r="B771" s="1" t="s">
        <v>7759</v>
      </c>
      <c r="C771" s="1" t="s">
        <v>74</v>
      </c>
      <c r="D771" s="1" t="s">
        <v>74</v>
      </c>
      <c r="E771" s="1" t="s">
        <v>74</v>
      </c>
      <c r="F771" s="1" t="s">
        <v>7760</v>
      </c>
      <c r="G771" s="1" t="s">
        <v>74</v>
      </c>
      <c r="H771" s="1" t="s">
        <v>74</v>
      </c>
      <c r="I771" s="1" t="s">
        <v>7761</v>
      </c>
      <c r="J771" s="1" t="s">
        <v>1057</v>
      </c>
      <c r="K771" s="1" t="s">
        <v>74</v>
      </c>
      <c r="L771" s="1" t="s">
        <v>74</v>
      </c>
      <c r="M771" s="1" t="s">
        <v>74</v>
      </c>
      <c r="N771" s="1" t="s">
        <v>74</v>
      </c>
      <c r="O771" s="1" t="s">
        <v>74</v>
      </c>
      <c r="P771" s="1" t="s">
        <v>74</v>
      </c>
      <c r="Q771" s="1" t="s">
        <v>74</v>
      </c>
      <c r="R771" s="1" t="s">
        <v>74</v>
      </c>
      <c r="S771" s="1" t="s">
        <v>74</v>
      </c>
      <c r="T771" s="1" t="s">
        <v>74</v>
      </c>
      <c r="U771" s="1" t="s">
        <v>74</v>
      </c>
      <c r="V771" s="1" t="s">
        <v>7762</v>
      </c>
      <c r="W771" s="1" t="s">
        <v>74</v>
      </c>
      <c r="X771" s="1" t="s">
        <v>74</v>
      </c>
      <c r="Y771" s="1" t="s">
        <v>74</v>
      </c>
      <c r="Z771" s="1" t="s">
        <v>74</v>
      </c>
      <c r="AA771" s="1" t="s">
        <v>7763</v>
      </c>
      <c r="AB771" s="1" t="s">
        <v>7764</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74</v>
      </c>
      <c r="AP771" s="1" t="s">
        <v>1061</v>
      </c>
      <c r="AQ771" s="1" t="s">
        <v>74</v>
      </c>
      <c r="AR771" s="1" t="s">
        <v>74</v>
      </c>
      <c r="AS771" s="1" t="s">
        <v>74</v>
      </c>
      <c r="AT771" s="1" t="s">
        <v>447</v>
      </c>
      <c r="AU771" s="1">
        <v>2022.0</v>
      </c>
      <c r="AV771" s="1">
        <v>19.0</v>
      </c>
      <c r="AW771" s="1">
        <v>16.0</v>
      </c>
      <c r="AX771" s="1" t="s">
        <v>74</v>
      </c>
      <c r="AY771" s="1" t="s">
        <v>74</v>
      </c>
      <c r="AZ771" s="1" t="s">
        <v>74</v>
      </c>
      <c r="BA771" s="1" t="s">
        <v>74</v>
      </c>
      <c r="BB771" s="1" t="s">
        <v>74</v>
      </c>
      <c r="BC771" s="1" t="s">
        <v>74</v>
      </c>
      <c r="BD771" s="1">
        <v>10256.0</v>
      </c>
      <c r="BE771" s="1" t="s">
        <v>7765</v>
      </c>
      <c r="BF771" s="2" t="str">
        <f>HYPERLINK("http://dx.doi.org/10.3390/ijerph191610256","http://dx.doi.org/10.3390/ijerph191610256")</f>
        <v>http://dx.doi.org/10.3390/ijerph191610256</v>
      </c>
      <c r="BG771" s="1" t="s">
        <v>74</v>
      </c>
      <c r="BH771" s="1" t="s">
        <v>74</v>
      </c>
      <c r="BI771" s="1" t="s">
        <v>74</v>
      </c>
      <c r="BJ771" s="1" t="s">
        <v>74</v>
      </c>
      <c r="BK771" s="1" t="s">
        <v>74</v>
      </c>
      <c r="BL771" s="1" t="s">
        <v>74</v>
      </c>
      <c r="BM771" s="1" t="s">
        <v>74</v>
      </c>
      <c r="BN771" s="1">
        <v>3.6011891E7</v>
      </c>
      <c r="BO771" s="1" t="s">
        <v>74</v>
      </c>
      <c r="BP771" s="1" t="s">
        <v>74</v>
      </c>
      <c r="BQ771" s="1" t="s">
        <v>74</v>
      </c>
      <c r="BR771" s="1" t="s">
        <v>74</v>
      </c>
      <c r="BS771" s="1" t="s">
        <v>7766</v>
      </c>
      <c r="BT771" s="1" t="str">
        <f>HYPERLINK("https%3A%2F%2Fwww.webofscience.com%2Fwos%2Fwoscc%2Ffull-record%2FWOS:000846563900001","View Full Record in Web of Science")</f>
        <v>View Full Record in Web of Science</v>
      </c>
    </row>
    <row r="772" ht="12.75" customHeight="1">
      <c r="A772" s="1" t="s">
        <v>72</v>
      </c>
      <c r="B772" s="1" t="s">
        <v>7767</v>
      </c>
      <c r="C772" s="1" t="s">
        <v>74</v>
      </c>
      <c r="D772" s="1" t="s">
        <v>74</v>
      </c>
      <c r="E772" s="1" t="s">
        <v>74</v>
      </c>
      <c r="F772" s="1" t="s">
        <v>7768</v>
      </c>
      <c r="G772" s="1" t="s">
        <v>74</v>
      </c>
      <c r="H772" s="1" t="s">
        <v>74</v>
      </c>
      <c r="I772" s="1" t="s">
        <v>7769</v>
      </c>
      <c r="J772" s="1" t="s">
        <v>7770</v>
      </c>
      <c r="K772" s="1" t="s">
        <v>74</v>
      </c>
      <c r="L772" s="1" t="s">
        <v>74</v>
      </c>
      <c r="M772" s="1" t="s">
        <v>74</v>
      </c>
      <c r="N772" s="1" t="s">
        <v>74</v>
      </c>
      <c r="O772" s="1" t="s">
        <v>74</v>
      </c>
      <c r="P772" s="1" t="s">
        <v>74</v>
      </c>
      <c r="Q772" s="1" t="s">
        <v>74</v>
      </c>
      <c r="R772" s="1" t="s">
        <v>74</v>
      </c>
      <c r="S772" s="1" t="s">
        <v>74</v>
      </c>
      <c r="T772" s="1" t="s">
        <v>74</v>
      </c>
      <c r="U772" s="1" t="s">
        <v>74</v>
      </c>
      <c r="V772" s="1" t="s">
        <v>7771</v>
      </c>
      <c r="W772" s="1" t="s">
        <v>74</v>
      </c>
      <c r="X772" s="1" t="s">
        <v>74</v>
      </c>
      <c r="Y772" s="1" t="s">
        <v>74</v>
      </c>
      <c r="Z772" s="1" t="s">
        <v>74</v>
      </c>
      <c r="AA772" s="1" t="s">
        <v>7772</v>
      </c>
      <c r="AB772" s="1" t="s">
        <v>7773</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7774</v>
      </c>
      <c r="AP772" s="1" t="s">
        <v>7775</v>
      </c>
      <c r="AQ772" s="1" t="s">
        <v>74</v>
      </c>
      <c r="AR772" s="1" t="s">
        <v>74</v>
      </c>
      <c r="AS772" s="1" t="s">
        <v>74</v>
      </c>
      <c r="AT772" s="1" t="s">
        <v>334</v>
      </c>
      <c r="AU772" s="1">
        <v>2019.0</v>
      </c>
      <c r="AV772" s="1">
        <v>58.0</v>
      </c>
      <c r="AW772" s="1">
        <v>7.0</v>
      </c>
      <c r="AX772" s="1" t="s">
        <v>74</v>
      </c>
      <c r="AY772" s="1" t="s">
        <v>74</v>
      </c>
      <c r="AZ772" s="1" t="s">
        <v>74</v>
      </c>
      <c r="BA772" s="1" t="s">
        <v>74</v>
      </c>
      <c r="BB772" s="1">
        <v>2649.0</v>
      </c>
      <c r="BC772" s="1">
        <v>2656.0</v>
      </c>
      <c r="BD772" s="1" t="s">
        <v>74</v>
      </c>
      <c r="BE772" s="1" t="s">
        <v>7776</v>
      </c>
      <c r="BF772" s="2" t="str">
        <f>HYPERLINK("http://dx.doi.org/10.1007/s00394-018-1812-0","http://dx.doi.org/10.1007/s00394-018-1812-0")</f>
        <v>http://dx.doi.org/10.1007/s00394-018-1812-0</v>
      </c>
      <c r="BG772" s="1" t="s">
        <v>74</v>
      </c>
      <c r="BH772" s="1" t="s">
        <v>74</v>
      </c>
      <c r="BI772" s="1" t="s">
        <v>74</v>
      </c>
      <c r="BJ772" s="1" t="s">
        <v>74</v>
      </c>
      <c r="BK772" s="1" t="s">
        <v>74</v>
      </c>
      <c r="BL772" s="1" t="s">
        <v>74</v>
      </c>
      <c r="BM772" s="1" t="s">
        <v>74</v>
      </c>
      <c r="BN772" s="1">
        <v>3.0178141E7</v>
      </c>
      <c r="BO772" s="1" t="s">
        <v>74</v>
      </c>
      <c r="BP772" s="1" t="s">
        <v>74</v>
      </c>
      <c r="BQ772" s="1" t="s">
        <v>74</v>
      </c>
      <c r="BR772" s="1" t="s">
        <v>74</v>
      </c>
      <c r="BS772" s="1" t="s">
        <v>7777</v>
      </c>
      <c r="BT772" s="1" t="str">
        <f>HYPERLINK("https%3A%2F%2Fwww.webofscience.com%2Fwos%2Fwoscc%2Ffull-record%2FWOS:000489562000006","View Full Record in Web of Science")</f>
        <v>View Full Record in Web of Science</v>
      </c>
    </row>
    <row r="773" ht="12.75" customHeight="1">
      <c r="A773" s="1" t="s">
        <v>1303</v>
      </c>
      <c r="B773" s="1" t="s">
        <v>7778</v>
      </c>
      <c r="C773" s="1" t="s">
        <v>74</v>
      </c>
      <c r="D773" s="1" t="s">
        <v>7779</v>
      </c>
      <c r="E773" s="1" t="s">
        <v>74</v>
      </c>
      <c r="F773" s="1" t="s">
        <v>7780</v>
      </c>
      <c r="G773" s="1" t="s">
        <v>74</v>
      </c>
      <c r="H773" s="1" t="s">
        <v>74</v>
      </c>
      <c r="I773" s="1" t="s">
        <v>7781</v>
      </c>
      <c r="J773" s="1" t="s">
        <v>7782</v>
      </c>
      <c r="K773" s="1" t="s">
        <v>7783</v>
      </c>
      <c r="L773" s="1" t="s">
        <v>74</v>
      </c>
      <c r="M773" s="1" t="s">
        <v>74</v>
      </c>
      <c r="N773" s="1" t="s">
        <v>74</v>
      </c>
      <c r="O773" s="1" t="s">
        <v>74</v>
      </c>
      <c r="P773" s="1" t="s">
        <v>74</v>
      </c>
      <c r="Q773" s="1" t="s">
        <v>74</v>
      </c>
      <c r="R773" s="1" t="s">
        <v>74</v>
      </c>
      <c r="S773" s="1" t="s">
        <v>74</v>
      </c>
      <c r="T773" s="1" t="s">
        <v>74</v>
      </c>
      <c r="U773" s="1" t="s">
        <v>74</v>
      </c>
      <c r="V773" s="1" t="s">
        <v>7784</v>
      </c>
      <c r="W773" s="1" t="s">
        <v>74</v>
      </c>
      <c r="X773" s="1" t="s">
        <v>74</v>
      </c>
      <c r="Y773" s="1" t="s">
        <v>74</v>
      </c>
      <c r="Z773" s="1" t="s">
        <v>74</v>
      </c>
      <c r="AA773" s="1" t="s">
        <v>7785</v>
      </c>
      <c r="AB773" s="1" t="s">
        <v>7786</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7787</v>
      </c>
      <c r="AP773" s="1" t="s">
        <v>74</v>
      </c>
      <c r="AQ773" s="1" t="s">
        <v>7788</v>
      </c>
      <c r="AR773" s="1" t="s">
        <v>74</v>
      </c>
      <c r="AS773" s="1" t="s">
        <v>74</v>
      </c>
      <c r="AT773" s="1" t="s">
        <v>74</v>
      </c>
      <c r="AU773" s="1">
        <v>2015.0</v>
      </c>
      <c r="AV773" s="1">
        <v>399.0</v>
      </c>
      <c r="AW773" s="1" t="s">
        <v>74</v>
      </c>
      <c r="AX773" s="1" t="s">
        <v>74</v>
      </c>
      <c r="AY773" s="1" t="s">
        <v>74</v>
      </c>
      <c r="AZ773" s="1" t="s">
        <v>74</v>
      </c>
      <c r="BA773" s="1" t="s">
        <v>74</v>
      </c>
      <c r="BB773" s="1">
        <v>63.0</v>
      </c>
      <c r="BC773" s="1">
        <v>82.0</v>
      </c>
      <c r="BD773" s="1" t="s">
        <v>74</v>
      </c>
      <c r="BE773" s="1" t="s">
        <v>7789</v>
      </c>
      <c r="BF773" s="2" t="str">
        <f>HYPERLINK("http://dx.doi.org/10.1144/SP399.14","http://dx.doi.org/10.1144/SP399.14")</f>
        <v>http://dx.doi.org/10.1144/SP399.14</v>
      </c>
      <c r="BG773" s="1" t="s">
        <v>74</v>
      </c>
      <c r="BH773" s="1" t="s">
        <v>74</v>
      </c>
      <c r="BI773" s="1" t="s">
        <v>74</v>
      </c>
      <c r="BJ773" s="1" t="s">
        <v>74</v>
      </c>
      <c r="BK773" s="1" t="s">
        <v>74</v>
      </c>
      <c r="BL773" s="1" t="s">
        <v>74</v>
      </c>
      <c r="BM773" s="1" t="s">
        <v>74</v>
      </c>
      <c r="BN773" s="1" t="s">
        <v>74</v>
      </c>
      <c r="BO773" s="1" t="s">
        <v>74</v>
      </c>
      <c r="BP773" s="1" t="s">
        <v>74</v>
      </c>
      <c r="BQ773" s="1" t="s">
        <v>74</v>
      </c>
      <c r="BR773" s="1" t="s">
        <v>74</v>
      </c>
      <c r="BS773" s="1" t="s">
        <v>7790</v>
      </c>
      <c r="BT773" s="1" t="str">
        <f>HYPERLINK("https%3A%2F%2Fwww.webofscience.com%2Fwos%2Fwoscc%2Ffull-record%2FWOS:000355693800003","View Full Record in Web of Science")</f>
        <v>View Full Record in Web of Science</v>
      </c>
    </row>
    <row r="774" ht="12.75" customHeight="1">
      <c r="A774" s="1" t="s">
        <v>72</v>
      </c>
      <c r="B774" s="1" t="s">
        <v>7791</v>
      </c>
      <c r="C774" s="1" t="s">
        <v>74</v>
      </c>
      <c r="D774" s="1" t="s">
        <v>74</v>
      </c>
      <c r="E774" s="1" t="s">
        <v>74</v>
      </c>
      <c r="F774" s="1" t="s">
        <v>7792</v>
      </c>
      <c r="G774" s="1" t="s">
        <v>74</v>
      </c>
      <c r="H774" s="1" t="s">
        <v>74</v>
      </c>
      <c r="I774" s="1" t="s">
        <v>7793</v>
      </c>
      <c r="J774" s="1" t="s">
        <v>7794</v>
      </c>
      <c r="K774" s="1" t="s">
        <v>74</v>
      </c>
      <c r="L774" s="1" t="s">
        <v>74</v>
      </c>
      <c r="M774" s="1" t="s">
        <v>74</v>
      </c>
      <c r="N774" s="1" t="s">
        <v>74</v>
      </c>
      <c r="O774" s="1" t="s">
        <v>74</v>
      </c>
      <c r="P774" s="1" t="s">
        <v>74</v>
      </c>
      <c r="Q774" s="1" t="s">
        <v>74</v>
      </c>
      <c r="R774" s="1" t="s">
        <v>74</v>
      </c>
      <c r="S774" s="1" t="s">
        <v>74</v>
      </c>
      <c r="T774" s="1" t="s">
        <v>74</v>
      </c>
      <c r="U774" s="1" t="s">
        <v>74</v>
      </c>
      <c r="V774" s="1" t="s">
        <v>7795</v>
      </c>
      <c r="W774" s="1" t="s">
        <v>74</v>
      </c>
      <c r="X774" s="1" t="s">
        <v>74</v>
      </c>
      <c r="Y774" s="1" t="s">
        <v>74</v>
      </c>
      <c r="Z774" s="1" t="s">
        <v>74</v>
      </c>
      <c r="AA774" s="1" t="s">
        <v>7796</v>
      </c>
      <c r="AB774" s="1" t="s">
        <v>7797</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74</v>
      </c>
      <c r="AP774" s="1" t="s">
        <v>7798</v>
      </c>
      <c r="AQ774" s="1" t="s">
        <v>74</v>
      </c>
      <c r="AR774" s="1" t="s">
        <v>74</v>
      </c>
      <c r="AS774" s="1" t="s">
        <v>74</v>
      </c>
      <c r="AT774" s="1" t="s">
        <v>1455</v>
      </c>
      <c r="AU774" s="1">
        <v>2023.0</v>
      </c>
      <c r="AV774" s="1">
        <v>15.0</v>
      </c>
      <c r="AW774" s="1">
        <v>11.0</v>
      </c>
      <c r="AX774" s="1" t="s">
        <v>74</v>
      </c>
      <c r="AY774" s="1" t="s">
        <v>74</v>
      </c>
      <c r="AZ774" s="1" t="s">
        <v>74</v>
      </c>
      <c r="BA774" s="1" t="s">
        <v>74</v>
      </c>
      <c r="BB774" s="1" t="s">
        <v>74</v>
      </c>
      <c r="BC774" s="1" t="s">
        <v>74</v>
      </c>
      <c r="BD774" s="1">
        <v>2095.0</v>
      </c>
      <c r="BE774" s="1" t="s">
        <v>7799</v>
      </c>
      <c r="BF774" s="2" t="str">
        <f>HYPERLINK("http://dx.doi.org/10.3390/w15112095","http://dx.doi.org/10.3390/w15112095")</f>
        <v>http://dx.doi.org/10.3390/w15112095</v>
      </c>
      <c r="BG774" s="1" t="s">
        <v>74</v>
      </c>
      <c r="BH774" s="1" t="s">
        <v>74</v>
      </c>
      <c r="BI774" s="1" t="s">
        <v>74</v>
      </c>
      <c r="BJ774" s="1" t="s">
        <v>74</v>
      </c>
      <c r="BK774" s="1" t="s">
        <v>74</v>
      </c>
      <c r="BL774" s="1" t="s">
        <v>74</v>
      </c>
      <c r="BM774" s="1" t="s">
        <v>74</v>
      </c>
      <c r="BN774" s="1" t="s">
        <v>74</v>
      </c>
      <c r="BO774" s="1" t="s">
        <v>74</v>
      </c>
      <c r="BP774" s="1" t="s">
        <v>74</v>
      </c>
      <c r="BQ774" s="1" t="s">
        <v>74</v>
      </c>
      <c r="BR774" s="1" t="s">
        <v>74</v>
      </c>
      <c r="BS774" s="1" t="s">
        <v>7800</v>
      </c>
      <c r="BT774" s="1" t="str">
        <f>HYPERLINK("https%3A%2F%2Fwww.webofscience.com%2Fwos%2Fwoscc%2Ffull-record%2FWOS:001004731800001","View Full Record in Web of Science")</f>
        <v>View Full Record in Web of Science</v>
      </c>
    </row>
    <row r="775" ht="12.75" customHeight="1">
      <c r="A775" s="1" t="s">
        <v>72</v>
      </c>
      <c r="B775" s="1" t="s">
        <v>7801</v>
      </c>
      <c r="C775" s="1" t="s">
        <v>74</v>
      </c>
      <c r="D775" s="1" t="s">
        <v>74</v>
      </c>
      <c r="E775" s="1" t="s">
        <v>74</v>
      </c>
      <c r="F775" s="1" t="s">
        <v>7802</v>
      </c>
      <c r="G775" s="1" t="s">
        <v>74</v>
      </c>
      <c r="H775" s="1" t="s">
        <v>74</v>
      </c>
      <c r="I775" s="1" t="s">
        <v>7803</v>
      </c>
      <c r="J775" s="1" t="s">
        <v>480</v>
      </c>
      <c r="K775" s="1" t="s">
        <v>74</v>
      </c>
      <c r="L775" s="1" t="s">
        <v>74</v>
      </c>
      <c r="M775" s="1" t="s">
        <v>74</v>
      </c>
      <c r="N775" s="1" t="s">
        <v>74</v>
      </c>
      <c r="O775" s="1" t="s">
        <v>74</v>
      </c>
      <c r="P775" s="1" t="s">
        <v>74</v>
      </c>
      <c r="Q775" s="1" t="s">
        <v>74</v>
      </c>
      <c r="R775" s="1" t="s">
        <v>74</v>
      </c>
      <c r="S775" s="1" t="s">
        <v>74</v>
      </c>
      <c r="T775" s="1" t="s">
        <v>74</v>
      </c>
      <c r="U775" s="1" t="s">
        <v>74</v>
      </c>
      <c r="V775" s="1" t="s">
        <v>7804</v>
      </c>
      <c r="W775" s="1" t="s">
        <v>74</v>
      </c>
      <c r="X775" s="1" t="s">
        <v>74</v>
      </c>
      <c r="Y775" s="1" t="s">
        <v>74</v>
      </c>
      <c r="Z775" s="1" t="s">
        <v>74</v>
      </c>
      <c r="AA775" s="1" t="s">
        <v>7805</v>
      </c>
      <c r="AB775" s="1" t="s">
        <v>7806</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484</v>
      </c>
      <c r="AP775" s="1" t="s">
        <v>74</v>
      </c>
      <c r="AQ775" s="1" t="s">
        <v>74</v>
      </c>
      <c r="AR775" s="1" t="s">
        <v>74</v>
      </c>
      <c r="AS775" s="1" t="s">
        <v>74</v>
      </c>
      <c r="AT775" s="1" t="s">
        <v>764</v>
      </c>
      <c r="AU775" s="1">
        <v>2023.0</v>
      </c>
      <c r="AV775" s="1">
        <v>13.0</v>
      </c>
      <c r="AW775" s="1">
        <v>1.0</v>
      </c>
      <c r="AX775" s="1" t="s">
        <v>74</v>
      </c>
      <c r="AY775" s="1" t="s">
        <v>74</v>
      </c>
      <c r="AZ775" s="1" t="s">
        <v>74</v>
      </c>
      <c r="BA775" s="1" t="s">
        <v>74</v>
      </c>
      <c r="BB775" s="1" t="s">
        <v>74</v>
      </c>
      <c r="BC775" s="1" t="s">
        <v>74</v>
      </c>
      <c r="BD775" s="1">
        <v>6726.0</v>
      </c>
      <c r="BE775" s="1" t="s">
        <v>7807</v>
      </c>
      <c r="BF775" s="2" t="str">
        <f>HYPERLINK("http://dx.doi.org/10.1038/s41598-023-33890-w","http://dx.doi.org/10.1038/s41598-023-33890-w")</f>
        <v>http://dx.doi.org/10.1038/s41598-023-33890-w</v>
      </c>
      <c r="BG775" s="1" t="s">
        <v>74</v>
      </c>
      <c r="BH775" s="1" t="s">
        <v>74</v>
      </c>
      <c r="BI775" s="1" t="s">
        <v>74</v>
      </c>
      <c r="BJ775" s="1" t="s">
        <v>74</v>
      </c>
      <c r="BK775" s="1" t="s">
        <v>74</v>
      </c>
      <c r="BL775" s="1" t="s">
        <v>74</v>
      </c>
      <c r="BM775" s="1" t="s">
        <v>74</v>
      </c>
      <c r="BN775" s="1">
        <v>3.7185945E7</v>
      </c>
      <c r="BO775" s="1" t="s">
        <v>74</v>
      </c>
      <c r="BP775" s="1" t="s">
        <v>74</v>
      </c>
      <c r="BQ775" s="1" t="s">
        <v>74</v>
      </c>
      <c r="BR775" s="1" t="s">
        <v>74</v>
      </c>
      <c r="BS775" s="1" t="s">
        <v>7808</v>
      </c>
      <c r="BT775" s="1" t="str">
        <f>HYPERLINK("https%3A%2F%2Fwww.webofscience.com%2Fwos%2Fwoscc%2Ffull-record%2FWOS:000984494600018","View Full Record in Web of Science")</f>
        <v>View Full Record in Web of Science</v>
      </c>
    </row>
    <row r="776" ht="12.75" customHeight="1">
      <c r="A776" s="1" t="s">
        <v>72</v>
      </c>
      <c r="B776" s="1" t="s">
        <v>7809</v>
      </c>
      <c r="C776" s="1" t="s">
        <v>74</v>
      </c>
      <c r="D776" s="1" t="s">
        <v>74</v>
      </c>
      <c r="E776" s="1" t="s">
        <v>74</v>
      </c>
      <c r="F776" s="1" t="s">
        <v>7810</v>
      </c>
      <c r="G776" s="1" t="s">
        <v>74</v>
      </c>
      <c r="H776" s="1" t="s">
        <v>74</v>
      </c>
      <c r="I776" s="1" t="s">
        <v>7811</v>
      </c>
      <c r="J776" s="1" t="s">
        <v>1716</v>
      </c>
      <c r="K776" s="1" t="s">
        <v>74</v>
      </c>
      <c r="L776" s="1" t="s">
        <v>74</v>
      </c>
      <c r="M776" s="1" t="s">
        <v>74</v>
      </c>
      <c r="N776" s="1" t="s">
        <v>74</v>
      </c>
      <c r="O776" s="1" t="s">
        <v>74</v>
      </c>
      <c r="P776" s="1" t="s">
        <v>74</v>
      </c>
      <c r="Q776" s="1" t="s">
        <v>74</v>
      </c>
      <c r="R776" s="1" t="s">
        <v>74</v>
      </c>
      <c r="S776" s="1" t="s">
        <v>74</v>
      </c>
      <c r="T776" s="1" t="s">
        <v>74</v>
      </c>
      <c r="U776" s="1" t="s">
        <v>74</v>
      </c>
      <c r="V776" s="1" t="s">
        <v>7812</v>
      </c>
      <c r="W776" s="1" t="s">
        <v>74</v>
      </c>
      <c r="X776" s="1" t="s">
        <v>74</v>
      </c>
      <c r="Y776" s="1" t="s">
        <v>74</v>
      </c>
      <c r="Z776" s="1" t="s">
        <v>74</v>
      </c>
      <c r="AA776" s="1" t="s">
        <v>7813</v>
      </c>
      <c r="AB776" s="1" t="s">
        <v>7814</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1719</v>
      </c>
      <c r="AP776" s="1" t="s">
        <v>1720</v>
      </c>
      <c r="AQ776" s="1" t="s">
        <v>74</v>
      </c>
      <c r="AR776" s="1" t="s">
        <v>74</v>
      </c>
      <c r="AS776" s="1" t="s">
        <v>74</v>
      </c>
      <c r="AT776" s="1" t="s">
        <v>346</v>
      </c>
      <c r="AU776" s="1">
        <v>2018.0</v>
      </c>
      <c r="AV776" s="1">
        <v>100.0</v>
      </c>
      <c r="AW776" s="1" t="s">
        <v>74</v>
      </c>
      <c r="AX776" s="1" t="s">
        <v>74</v>
      </c>
      <c r="AY776" s="1" t="s">
        <v>74</v>
      </c>
      <c r="AZ776" s="1" t="s">
        <v>448</v>
      </c>
      <c r="BA776" s="1" t="s">
        <v>74</v>
      </c>
      <c r="BB776" s="1">
        <v>111.0</v>
      </c>
      <c r="BC776" s="1">
        <v>126.0</v>
      </c>
      <c r="BD776" s="1" t="s">
        <v>74</v>
      </c>
      <c r="BE776" s="1" t="s">
        <v>7815</v>
      </c>
      <c r="BF776" s="2" t="str">
        <f>HYPERLINK("http://dx.doi.org/10.1016/j.cortex.2017.07.003","http://dx.doi.org/10.1016/j.cortex.2017.07.003")</f>
        <v>http://dx.doi.org/10.1016/j.cortex.2017.07.003</v>
      </c>
      <c r="BG776" s="1" t="s">
        <v>74</v>
      </c>
      <c r="BH776" s="1" t="s">
        <v>74</v>
      </c>
      <c r="BI776" s="1" t="s">
        <v>74</v>
      </c>
      <c r="BJ776" s="1" t="s">
        <v>74</v>
      </c>
      <c r="BK776" s="1" t="s">
        <v>74</v>
      </c>
      <c r="BL776" s="1" t="s">
        <v>74</v>
      </c>
      <c r="BM776" s="1" t="s">
        <v>74</v>
      </c>
      <c r="BN776" s="1">
        <v>2.8764852E7</v>
      </c>
      <c r="BO776" s="1" t="s">
        <v>74</v>
      </c>
      <c r="BP776" s="1" t="s">
        <v>74</v>
      </c>
      <c r="BQ776" s="1" t="s">
        <v>74</v>
      </c>
      <c r="BR776" s="1" t="s">
        <v>74</v>
      </c>
      <c r="BS776" s="1" t="s">
        <v>7816</v>
      </c>
      <c r="BT776" s="1" t="str">
        <f>HYPERLINK("https%3A%2F%2Fwww.webofscience.com%2Fwos%2Fwoscc%2Ffull-record%2FWOS:000428097100010","View Full Record in Web of Science")</f>
        <v>View Full Record in Web of Science</v>
      </c>
    </row>
    <row r="777" ht="12.75" customHeight="1">
      <c r="A777" s="1" t="s">
        <v>72</v>
      </c>
      <c r="B777" s="1" t="s">
        <v>7817</v>
      </c>
      <c r="C777" s="1" t="s">
        <v>74</v>
      </c>
      <c r="D777" s="1" t="s">
        <v>74</v>
      </c>
      <c r="E777" s="1" t="s">
        <v>74</v>
      </c>
      <c r="F777" s="1" t="s">
        <v>7818</v>
      </c>
      <c r="G777" s="1" t="s">
        <v>74</v>
      </c>
      <c r="H777" s="1" t="s">
        <v>74</v>
      </c>
      <c r="I777" s="1" t="s">
        <v>7819</v>
      </c>
      <c r="J777" s="1" t="s">
        <v>7820</v>
      </c>
      <c r="K777" s="1" t="s">
        <v>74</v>
      </c>
      <c r="L777" s="1" t="s">
        <v>74</v>
      </c>
      <c r="M777" s="1" t="s">
        <v>74</v>
      </c>
      <c r="N777" s="1" t="s">
        <v>74</v>
      </c>
      <c r="O777" s="1" t="s">
        <v>74</v>
      </c>
      <c r="P777" s="1" t="s">
        <v>74</v>
      </c>
      <c r="Q777" s="1" t="s">
        <v>74</v>
      </c>
      <c r="R777" s="1" t="s">
        <v>74</v>
      </c>
      <c r="S777" s="1" t="s">
        <v>74</v>
      </c>
      <c r="T777" s="1" t="s">
        <v>74</v>
      </c>
      <c r="U777" s="1" t="s">
        <v>74</v>
      </c>
      <c r="V777" s="1" t="s">
        <v>7821</v>
      </c>
      <c r="W777" s="1" t="s">
        <v>74</v>
      </c>
      <c r="X777" s="1" t="s">
        <v>74</v>
      </c>
      <c r="Y777" s="1" t="s">
        <v>74</v>
      </c>
      <c r="Z777" s="1" t="s">
        <v>74</v>
      </c>
      <c r="AA777" s="1" t="s">
        <v>7822</v>
      </c>
      <c r="AB777" s="1" t="s">
        <v>7823</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7824</v>
      </c>
      <c r="AP777" s="1" t="s">
        <v>7825</v>
      </c>
      <c r="AQ777" s="1" t="s">
        <v>74</v>
      </c>
      <c r="AR777" s="1" t="s">
        <v>74</v>
      </c>
      <c r="AS777" s="1" t="s">
        <v>74</v>
      </c>
      <c r="AT777" s="1" t="s">
        <v>106</v>
      </c>
      <c r="AU777" s="1">
        <v>2008.0</v>
      </c>
      <c r="AV777" s="1">
        <v>3.0</v>
      </c>
      <c r="AW777" s="1">
        <v>11.0</v>
      </c>
      <c r="AX777" s="1" t="s">
        <v>74</v>
      </c>
      <c r="AY777" s="1" t="s">
        <v>74</v>
      </c>
      <c r="AZ777" s="1" t="s">
        <v>74</v>
      </c>
      <c r="BA777" s="1" t="s">
        <v>74</v>
      </c>
      <c r="BB777" s="1">
        <v>435.0</v>
      </c>
      <c r="BC777" s="1">
        <v>443.0</v>
      </c>
      <c r="BD777" s="1" t="s">
        <v>74</v>
      </c>
      <c r="BE777" s="1" t="s">
        <v>7826</v>
      </c>
      <c r="BF777" s="2" t="str">
        <f>HYPERLINK("http://dx.doi.org/10.1007/s11671-008-9178-5","http://dx.doi.org/10.1007/s11671-008-9178-5")</f>
        <v>http://dx.doi.org/10.1007/s11671-008-9178-5</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7827</v>
      </c>
      <c r="BT777" s="1" t="str">
        <f>HYPERLINK("https%3A%2F%2Fwww.webofscience.com%2Fwos%2Fwoscc%2Ffull-record%2FWOS:000260378300006","View Full Record in Web of Science")</f>
        <v>View Full Record in Web of Science</v>
      </c>
    </row>
    <row r="778" ht="12.75" customHeight="1">
      <c r="A778" s="1" t="s">
        <v>72</v>
      </c>
      <c r="B778" s="1" t="s">
        <v>7828</v>
      </c>
      <c r="C778" s="1" t="s">
        <v>74</v>
      </c>
      <c r="D778" s="1" t="s">
        <v>74</v>
      </c>
      <c r="E778" s="1" t="s">
        <v>74</v>
      </c>
      <c r="F778" s="1" t="s">
        <v>7829</v>
      </c>
      <c r="G778" s="1" t="s">
        <v>74</v>
      </c>
      <c r="H778" s="1" t="s">
        <v>74</v>
      </c>
      <c r="I778" s="1" t="s">
        <v>7830</v>
      </c>
      <c r="J778" s="1" t="s">
        <v>5897</v>
      </c>
      <c r="K778" s="1" t="s">
        <v>74</v>
      </c>
      <c r="L778" s="1" t="s">
        <v>74</v>
      </c>
      <c r="M778" s="1" t="s">
        <v>74</v>
      </c>
      <c r="N778" s="1" t="s">
        <v>74</v>
      </c>
      <c r="O778" s="1" t="s">
        <v>74</v>
      </c>
      <c r="P778" s="1" t="s">
        <v>74</v>
      </c>
      <c r="Q778" s="1" t="s">
        <v>74</v>
      </c>
      <c r="R778" s="1" t="s">
        <v>74</v>
      </c>
      <c r="S778" s="1" t="s">
        <v>74</v>
      </c>
      <c r="T778" s="1" t="s">
        <v>74</v>
      </c>
      <c r="U778" s="1" t="s">
        <v>74</v>
      </c>
      <c r="V778" s="1" t="s">
        <v>7831</v>
      </c>
      <c r="W778" s="1" t="s">
        <v>74</v>
      </c>
      <c r="X778" s="1" t="s">
        <v>74</v>
      </c>
      <c r="Y778" s="1" t="s">
        <v>74</v>
      </c>
      <c r="Z778" s="1" t="s">
        <v>74</v>
      </c>
      <c r="AA778" s="1" t="s">
        <v>7832</v>
      </c>
      <c r="AB778" s="1" t="s">
        <v>7833</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5901</v>
      </c>
      <c r="AP778" s="1" t="s">
        <v>5902</v>
      </c>
      <c r="AQ778" s="1" t="s">
        <v>74</v>
      </c>
      <c r="AR778" s="1" t="s">
        <v>74</v>
      </c>
      <c r="AS778" s="1" t="s">
        <v>74</v>
      </c>
      <c r="AT778" s="1" t="s">
        <v>5404</v>
      </c>
      <c r="AU778" s="1">
        <v>2025.0</v>
      </c>
      <c r="AV778" s="1">
        <v>699.0</v>
      </c>
      <c r="AW778" s="1" t="s">
        <v>74</v>
      </c>
      <c r="AX778" s="1" t="s">
        <v>74</v>
      </c>
      <c r="AY778" s="1" t="s">
        <v>74</v>
      </c>
      <c r="AZ778" s="1" t="s">
        <v>74</v>
      </c>
      <c r="BA778" s="1" t="s">
        <v>74</v>
      </c>
      <c r="BB778" s="1" t="s">
        <v>74</v>
      </c>
      <c r="BC778" s="1" t="s">
        <v>74</v>
      </c>
      <c r="BD778" s="1">
        <v>416876.0</v>
      </c>
      <c r="BE778" s="1" t="s">
        <v>7834</v>
      </c>
      <c r="BF778" s="2" t="str">
        <f>HYPERLINK("http://dx.doi.org/10.1016/j.physb.2024.416876","http://dx.doi.org/10.1016/j.physb.2024.416876")</f>
        <v>http://dx.doi.org/10.1016/j.physb.2024.416876</v>
      </c>
      <c r="BG778" s="1" t="s">
        <v>74</v>
      </c>
      <c r="BH778" s="1" t="s">
        <v>2726</v>
      </c>
      <c r="BI778" s="1" t="s">
        <v>74</v>
      </c>
      <c r="BJ778" s="1" t="s">
        <v>74</v>
      </c>
      <c r="BK778" s="1" t="s">
        <v>74</v>
      </c>
      <c r="BL778" s="1" t="s">
        <v>74</v>
      </c>
      <c r="BM778" s="1" t="s">
        <v>74</v>
      </c>
      <c r="BN778" s="1" t="s">
        <v>74</v>
      </c>
      <c r="BO778" s="1" t="s">
        <v>74</v>
      </c>
      <c r="BP778" s="1" t="s">
        <v>74</v>
      </c>
      <c r="BQ778" s="1" t="s">
        <v>74</v>
      </c>
      <c r="BR778" s="1" t="s">
        <v>74</v>
      </c>
      <c r="BS778" s="1" t="s">
        <v>7835</v>
      </c>
      <c r="BT778" s="1" t="str">
        <f>HYPERLINK("https%3A%2F%2Fwww.webofscience.com%2Fwos%2Fwoscc%2Ffull-record%2FWOS:001414292900001","View Full Record in Web of Science")</f>
        <v>View Full Record in Web of Science</v>
      </c>
    </row>
    <row r="779" ht="12.75" customHeight="1">
      <c r="A779" s="1" t="s">
        <v>72</v>
      </c>
      <c r="B779" s="1" t="s">
        <v>7836</v>
      </c>
      <c r="C779" s="1" t="s">
        <v>74</v>
      </c>
      <c r="D779" s="1" t="s">
        <v>74</v>
      </c>
      <c r="E779" s="1" t="s">
        <v>74</v>
      </c>
      <c r="F779" s="1" t="s">
        <v>7837</v>
      </c>
      <c r="G779" s="1" t="s">
        <v>74</v>
      </c>
      <c r="H779" s="1" t="s">
        <v>74</v>
      </c>
      <c r="I779" s="1" t="s">
        <v>7838</v>
      </c>
      <c r="J779" s="1" t="s">
        <v>7839</v>
      </c>
      <c r="K779" s="1" t="s">
        <v>74</v>
      </c>
      <c r="L779" s="1" t="s">
        <v>74</v>
      </c>
      <c r="M779" s="1" t="s">
        <v>74</v>
      </c>
      <c r="N779" s="1" t="s">
        <v>74</v>
      </c>
      <c r="O779" s="1" t="s">
        <v>74</v>
      </c>
      <c r="P779" s="1" t="s">
        <v>74</v>
      </c>
      <c r="Q779" s="1" t="s">
        <v>74</v>
      </c>
      <c r="R779" s="1" t="s">
        <v>74</v>
      </c>
      <c r="S779" s="1" t="s">
        <v>74</v>
      </c>
      <c r="T779" s="1" t="s">
        <v>74</v>
      </c>
      <c r="U779" s="1" t="s">
        <v>74</v>
      </c>
      <c r="V779" s="1" t="s">
        <v>7840</v>
      </c>
      <c r="W779" s="1" t="s">
        <v>74</v>
      </c>
      <c r="X779" s="1" t="s">
        <v>74</v>
      </c>
      <c r="Y779" s="1" t="s">
        <v>74</v>
      </c>
      <c r="Z779" s="1" t="s">
        <v>74</v>
      </c>
      <c r="AA779" s="1" t="s">
        <v>7841</v>
      </c>
      <c r="AB779" s="1" t="s">
        <v>7842</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74</v>
      </c>
      <c r="AP779" s="1" t="s">
        <v>7843</v>
      </c>
      <c r="AQ779" s="1" t="s">
        <v>74</v>
      </c>
      <c r="AR779" s="1" t="s">
        <v>74</v>
      </c>
      <c r="AS779" s="1" t="s">
        <v>74</v>
      </c>
      <c r="AT779" s="1" t="s">
        <v>7844</v>
      </c>
      <c r="AU779" s="1">
        <v>2022.0</v>
      </c>
      <c r="AV779" s="1">
        <v>8.0</v>
      </c>
      <c r="AW779" s="1">
        <v>1.0</v>
      </c>
      <c r="AX779" s="1" t="s">
        <v>74</v>
      </c>
      <c r="AY779" s="1" t="s">
        <v>74</v>
      </c>
      <c r="AZ779" s="1" t="s">
        <v>74</v>
      </c>
      <c r="BA779" s="1" t="s">
        <v>74</v>
      </c>
      <c r="BB779" s="1" t="s">
        <v>74</v>
      </c>
      <c r="BC779" s="1" t="s">
        <v>74</v>
      </c>
      <c r="BD779" s="1">
        <v>163.0</v>
      </c>
      <c r="BE779" s="1" t="s">
        <v>7845</v>
      </c>
      <c r="BF779" s="2" t="str">
        <f>HYPERLINK("http://dx.doi.org/10.1038/s41531-022-00422-8","http://dx.doi.org/10.1038/s41531-022-00422-8")</f>
        <v>http://dx.doi.org/10.1038/s41531-022-00422-8</v>
      </c>
      <c r="BG779" s="1" t="s">
        <v>74</v>
      </c>
      <c r="BH779" s="1" t="s">
        <v>74</v>
      </c>
      <c r="BI779" s="1" t="s">
        <v>74</v>
      </c>
      <c r="BJ779" s="1" t="s">
        <v>74</v>
      </c>
      <c r="BK779" s="1" t="s">
        <v>74</v>
      </c>
      <c r="BL779" s="1" t="s">
        <v>74</v>
      </c>
      <c r="BM779" s="1" t="s">
        <v>74</v>
      </c>
      <c r="BN779" s="1">
        <v>3.6434017E7</v>
      </c>
      <c r="BO779" s="1" t="s">
        <v>74</v>
      </c>
      <c r="BP779" s="1" t="s">
        <v>74</v>
      </c>
      <c r="BQ779" s="1" t="s">
        <v>74</v>
      </c>
      <c r="BR779" s="1" t="s">
        <v>74</v>
      </c>
      <c r="BS779" s="1" t="s">
        <v>7846</v>
      </c>
      <c r="BT779" s="1" t="str">
        <f>HYPERLINK("https%3A%2F%2Fwww.webofscience.com%2Fwos%2Fwoscc%2Ffull-record%2FWOS:000888731100001","View Full Record in Web of Science")</f>
        <v>View Full Record in Web of Science</v>
      </c>
    </row>
    <row r="780" ht="12.75" customHeight="1">
      <c r="A780" s="1" t="s">
        <v>72</v>
      </c>
      <c r="B780" s="1" t="s">
        <v>7847</v>
      </c>
      <c r="C780" s="1" t="s">
        <v>74</v>
      </c>
      <c r="D780" s="1" t="s">
        <v>74</v>
      </c>
      <c r="E780" s="1" t="s">
        <v>74</v>
      </c>
      <c r="F780" s="1" t="s">
        <v>7848</v>
      </c>
      <c r="G780" s="1" t="s">
        <v>74</v>
      </c>
      <c r="H780" s="1" t="s">
        <v>74</v>
      </c>
      <c r="I780" s="1" t="s">
        <v>7849</v>
      </c>
      <c r="J780" s="1" t="s">
        <v>6374</v>
      </c>
      <c r="K780" s="1" t="s">
        <v>74</v>
      </c>
      <c r="L780" s="1" t="s">
        <v>74</v>
      </c>
      <c r="M780" s="1" t="s">
        <v>74</v>
      </c>
      <c r="N780" s="1" t="s">
        <v>74</v>
      </c>
      <c r="O780" s="1" t="s">
        <v>74</v>
      </c>
      <c r="P780" s="1" t="s">
        <v>74</v>
      </c>
      <c r="Q780" s="1" t="s">
        <v>74</v>
      </c>
      <c r="R780" s="1" t="s">
        <v>74</v>
      </c>
      <c r="S780" s="1" t="s">
        <v>74</v>
      </c>
      <c r="T780" s="1" t="s">
        <v>74</v>
      </c>
      <c r="U780" s="1" t="s">
        <v>74</v>
      </c>
      <c r="V780" s="1" t="s">
        <v>74</v>
      </c>
      <c r="W780" s="1" t="s">
        <v>74</v>
      </c>
      <c r="X780" s="1" t="s">
        <v>74</v>
      </c>
      <c r="Y780" s="1" t="s">
        <v>74</v>
      </c>
      <c r="Z780" s="1" t="s">
        <v>74</v>
      </c>
      <c r="AA780" s="1" t="s">
        <v>7850</v>
      </c>
      <c r="AB780" s="1" t="s">
        <v>6376</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6377</v>
      </c>
      <c r="AP780" s="1" t="s">
        <v>6378</v>
      </c>
      <c r="AQ780" s="1" t="s">
        <v>74</v>
      </c>
      <c r="AR780" s="1" t="s">
        <v>74</v>
      </c>
      <c r="AS780" s="1" t="s">
        <v>74</v>
      </c>
      <c r="AT780" s="1" t="s">
        <v>141</v>
      </c>
      <c r="AU780" s="1">
        <v>2022.0</v>
      </c>
      <c r="AV780" s="1">
        <v>54.0</v>
      </c>
      <c r="AW780" s="1">
        <v>9.0</v>
      </c>
      <c r="AX780" s="1" t="s">
        <v>74</v>
      </c>
      <c r="AY780" s="1" t="s">
        <v>1303</v>
      </c>
      <c r="AZ780" s="1" t="s">
        <v>74</v>
      </c>
      <c r="BA780" s="1">
        <v>2446.0</v>
      </c>
      <c r="BB780" s="1">
        <v>460.0</v>
      </c>
      <c r="BC780" s="1">
        <v>460.0</v>
      </c>
      <c r="BD780" s="1" t="s">
        <v>74</v>
      </c>
      <c r="BE780" s="1" t="s">
        <v>74</v>
      </c>
      <c r="BF780" s="1" t="s">
        <v>74</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7851</v>
      </c>
      <c r="BT780" s="1" t="str">
        <f>HYPERLINK("https%3A%2F%2Fwww.webofscience.com%2Fwos%2Fwoscc%2Ffull-record%2FWOS:000888056602068","View Full Record in Web of Science")</f>
        <v>View Full Record in Web of Science</v>
      </c>
    </row>
    <row r="781" ht="12.75" customHeight="1">
      <c r="A781" s="1" t="s">
        <v>72</v>
      </c>
      <c r="B781" s="1" t="s">
        <v>7852</v>
      </c>
      <c r="C781" s="1" t="s">
        <v>74</v>
      </c>
      <c r="D781" s="1" t="s">
        <v>74</v>
      </c>
      <c r="E781" s="1" t="s">
        <v>74</v>
      </c>
      <c r="F781" s="1" t="s">
        <v>7853</v>
      </c>
      <c r="G781" s="1" t="s">
        <v>74</v>
      </c>
      <c r="H781" s="1" t="s">
        <v>74</v>
      </c>
      <c r="I781" s="1" t="s">
        <v>7854</v>
      </c>
      <c r="J781" s="1" t="s">
        <v>7855</v>
      </c>
      <c r="K781" s="1" t="s">
        <v>74</v>
      </c>
      <c r="L781" s="1" t="s">
        <v>74</v>
      </c>
      <c r="M781" s="1" t="s">
        <v>74</v>
      </c>
      <c r="N781" s="1" t="s">
        <v>74</v>
      </c>
      <c r="O781" s="1" t="s">
        <v>74</v>
      </c>
      <c r="P781" s="1" t="s">
        <v>74</v>
      </c>
      <c r="Q781" s="1" t="s">
        <v>74</v>
      </c>
      <c r="R781" s="1" t="s">
        <v>74</v>
      </c>
      <c r="S781" s="1" t="s">
        <v>74</v>
      </c>
      <c r="T781" s="1" t="s">
        <v>74</v>
      </c>
      <c r="U781" s="1" t="s">
        <v>74</v>
      </c>
      <c r="V781" s="1" t="s">
        <v>7856</v>
      </c>
      <c r="W781" s="1" t="s">
        <v>74</v>
      </c>
      <c r="X781" s="1" t="s">
        <v>74</v>
      </c>
      <c r="Y781" s="1" t="s">
        <v>74</v>
      </c>
      <c r="Z781" s="1" t="s">
        <v>74</v>
      </c>
      <c r="AA781" s="1" t="s">
        <v>7857</v>
      </c>
      <c r="AB781" s="1" t="s">
        <v>74</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7858</v>
      </c>
      <c r="AP781" s="1" t="s">
        <v>7859</v>
      </c>
      <c r="AQ781" s="1" t="s">
        <v>74</v>
      </c>
      <c r="AR781" s="1" t="s">
        <v>74</v>
      </c>
      <c r="AS781" s="1" t="s">
        <v>74</v>
      </c>
      <c r="AT781" s="1" t="s">
        <v>226</v>
      </c>
      <c r="AU781" s="1">
        <v>2025.0</v>
      </c>
      <c r="AV781" s="1">
        <v>36.0</v>
      </c>
      <c r="AW781" s="1">
        <v>3.0</v>
      </c>
      <c r="AX781" s="1" t="s">
        <v>74</v>
      </c>
      <c r="AY781" s="1" t="s">
        <v>74</v>
      </c>
      <c r="AZ781" s="1" t="s">
        <v>74</v>
      </c>
      <c r="BA781" s="1" t="s">
        <v>74</v>
      </c>
      <c r="BB781" s="1" t="s">
        <v>74</v>
      </c>
      <c r="BC781" s="1" t="s">
        <v>74</v>
      </c>
      <c r="BD781" s="1">
        <v>86.0</v>
      </c>
      <c r="BE781" s="1" t="s">
        <v>7860</v>
      </c>
      <c r="BF781" s="2" t="str">
        <f>HYPERLINK("http://dx.doi.org/10.1007/s10876-025-02794-2","http://dx.doi.org/10.1007/s10876-025-02794-2")</f>
        <v>http://dx.doi.org/10.1007/s10876-025-02794-2</v>
      </c>
      <c r="BG781" s="1" t="s">
        <v>74</v>
      </c>
      <c r="BH781" s="1" t="s">
        <v>74</v>
      </c>
      <c r="BI781" s="1" t="s">
        <v>74</v>
      </c>
      <c r="BJ781" s="1" t="s">
        <v>74</v>
      </c>
      <c r="BK781" s="1" t="s">
        <v>74</v>
      </c>
      <c r="BL781" s="1" t="s">
        <v>74</v>
      </c>
      <c r="BM781" s="1" t="s">
        <v>74</v>
      </c>
      <c r="BN781" s="1" t="s">
        <v>74</v>
      </c>
      <c r="BO781" s="1" t="s">
        <v>74</v>
      </c>
      <c r="BP781" s="1" t="s">
        <v>74</v>
      </c>
      <c r="BQ781" s="1" t="s">
        <v>74</v>
      </c>
      <c r="BR781" s="1" t="s">
        <v>74</v>
      </c>
      <c r="BS781" s="1" t="s">
        <v>7861</v>
      </c>
      <c r="BT781" s="1" t="str">
        <f>HYPERLINK("https%3A%2F%2Fwww.webofscience.com%2Fwos%2Fwoscc%2Ffull-record%2FWOS:001460331300009","View Full Record in Web of Science")</f>
        <v>View Full Record in Web of Science</v>
      </c>
    </row>
    <row r="782" ht="12.75" customHeight="1">
      <c r="A782" s="1" t="s">
        <v>72</v>
      </c>
      <c r="B782" s="1" t="s">
        <v>7862</v>
      </c>
      <c r="C782" s="1" t="s">
        <v>74</v>
      </c>
      <c r="D782" s="1" t="s">
        <v>74</v>
      </c>
      <c r="E782" s="1" t="s">
        <v>74</v>
      </c>
      <c r="F782" s="1" t="s">
        <v>7863</v>
      </c>
      <c r="G782" s="1" t="s">
        <v>74</v>
      </c>
      <c r="H782" s="1" t="s">
        <v>74</v>
      </c>
      <c r="I782" s="1" t="s">
        <v>7864</v>
      </c>
      <c r="J782" s="1" t="s">
        <v>3984</v>
      </c>
      <c r="K782" s="1" t="s">
        <v>74</v>
      </c>
      <c r="L782" s="1" t="s">
        <v>74</v>
      </c>
      <c r="M782" s="1" t="s">
        <v>74</v>
      </c>
      <c r="N782" s="1" t="s">
        <v>74</v>
      </c>
      <c r="O782" s="1" t="s">
        <v>74</v>
      </c>
      <c r="P782" s="1" t="s">
        <v>74</v>
      </c>
      <c r="Q782" s="1" t="s">
        <v>74</v>
      </c>
      <c r="R782" s="1" t="s">
        <v>74</v>
      </c>
      <c r="S782" s="1" t="s">
        <v>74</v>
      </c>
      <c r="T782" s="1" t="s">
        <v>74</v>
      </c>
      <c r="U782" s="1" t="s">
        <v>74</v>
      </c>
      <c r="V782" s="1" t="s">
        <v>7865</v>
      </c>
      <c r="W782" s="1" t="s">
        <v>74</v>
      </c>
      <c r="X782" s="1" t="s">
        <v>74</v>
      </c>
      <c r="Y782" s="1" t="s">
        <v>74</v>
      </c>
      <c r="Z782" s="1" t="s">
        <v>74</v>
      </c>
      <c r="AA782" s="1" t="s">
        <v>7866</v>
      </c>
      <c r="AB782" s="1" t="s">
        <v>7867</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3987</v>
      </c>
      <c r="AP782" s="1" t="s">
        <v>3988</v>
      </c>
      <c r="AQ782" s="1" t="s">
        <v>74</v>
      </c>
      <c r="AR782" s="1" t="s">
        <v>74</v>
      </c>
      <c r="AS782" s="1" t="s">
        <v>74</v>
      </c>
      <c r="AT782" s="1" t="s">
        <v>106</v>
      </c>
      <c r="AU782" s="1">
        <v>2024.0</v>
      </c>
      <c r="AV782" s="1">
        <v>157.0</v>
      </c>
      <c r="AW782" s="1" t="s">
        <v>74</v>
      </c>
      <c r="AX782" s="1">
        <v>2.0</v>
      </c>
      <c r="AY782" s="1" t="s">
        <v>74</v>
      </c>
      <c r="AZ782" s="1" t="s">
        <v>74</v>
      </c>
      <c r="BA782" s="1" t="s">
        <v>74</v>
      </c>
      <c r="BB782" s="1" t="s">
        <v>74</v>
      </c>
      <c r="BC782" s="1" t="s">
        <v>74</v>
      </c>
      <c r="BD782" s="1">
        <v>116289.0</v>
      </c>
      <c r="BE782" s="1" t="s">
        <v>7868</v>
      </c>
      <c r="BF782" s="2" t="str">
        <f>HYPERLINK("http://dx.doi.org/10.1016/j.optmat.2024.116289","http://dx.doi.org/10.1016/j.optmat.2024.116289")</f>
        <v>http://dx.doi.org/10.1016/j.optmat.2024.116289</v>
      </c>
      <c r="BG782" s="1" t="s">
        <v>74</v>
      </c>
      <c r="BH782" s="1" t="s">
        <v>5445</v>
      </c>
      <c r="BI782" s="1" t="s">
        <v>74</v>
      </c>
      <c r="BJ782" s="1" t="s">
        <v>74</v>
      </c>
      <c r="BK782" s="1" t="s">
        <v>74</v>
      </c>
      <c r="BL782" s="1" t="s">
        <v>74</v>
      </c>
      <c r="BM782" s="1" t="s">
        <v>74</v>
      </c>
      <c r="BN782" s="1" t="s">
        <v>74</v>
      </c>
      <c r="BO782" s="1" t="s">
        <v>74</v>
      </c>
      <c r="BP782" s="1" t="s">
        <v>74</v>
      </c>
      <c r="BQ782" s="1" t="s">
        <v>74</v>
      </c>
      <c r="BR782" s="1" t="s">
        <v>74</v>
      </c>
      <c r="BS782" s="1" t="s">
        <v>7869</v>
      </c>
      <c r="BT782" s="1" t="str">
        <f>HYPERLINK("https%3A%2F%2Fwww.webofscience.com%2Fwos%2Fwoscc%2Ffull-record%2FWOS:001352834200001","View Full Record in Web of Science")</f>
        <v>View Full Record in Web of Science</v>
      </c>
    </row>
    <row r="783" ht="12.75" customHeight="1">
      <c r="A783" s="1" t="s">
        <v>72</v>
      </c>
      <c r="B783" s="1" t="s">
        <v>7870</v>
      </c>
      <c r="C783" s="1" t="s">
        <v>74</v>
      </c>
      <c r="D783" s="1" t="s">
        <v>74</v>
      </c>
      <c r="E783" s="1" t="s">
        <v>74</v>
      </c>
      <c r="F783" s="1" t="s">
        <v>7871</v>
      </c>
      <c r="G783" s="1" t="s">
        <v>74</v>
      </c>
      <c r="H783" s="1" t="s">
        <v>74</v>
      </c>
      <c r="I783" s="1" t="s">
        <v>7872</v>
      </c>
      <c r="J783" s="1" t="s">
        <v>480</v>
      </c>
      <c r="K783" s="1" t="s">
        <v>74</v>
      </c>
      <c r="L783" s="1" t="s">
        <v>74</v>
      </c>
      <c r="M783" s="1" t="s">
        <v>74</v>
      </c>
      <c r="N783" s="1" t="s">
        <v>74</v>
      </c>
      <c r="O783" s="1" t="s">
        <v>74</v>
      </c>
      <c r="P783" s="1" t="s">
        <v>74</v>
      </c>
      <c r="Q783" s="1" t="s">
        <v>74</v>
      </c>
      <c r="R783" s="1" t="s">
        <v>74</v>
      </c>
      <c r="S783" s="1" t="s">
        <v>74</v>
      </c>
      <c r="T783" s="1" t="s">
        <v>74</v>
      </c>
      <c r="U783" s="1" t="s">
        <v>74</v>
      </c>
      <c r="V783" s="1" t="s">
        <v>7873</v>
      </c>
      <c r="W783" s="1" t="s">
        <v>74</v>
      </c>
      <c r="X783" s="1" t="s">
        <v>74</v>
      </c>
      <c r="Y783" s="1" t="s">
        <v>74</v>
      </c>
      <c r="Z783" s="1" t="s">
        <v>74</v>
      </c>
      <c r="AA783" s="1" t="s">
        <v>7874</v>
      </c>
      <c r="AB783" s="1" t="s">
        <v>7875</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484</v>
      </c>
      <c r="AP783" s="1" t="s">
        <v>74</v>
      </c>
      <c r="AQ783" s="1" t="s">
        <v>74</v>
      </c>
      <c r="AR783" s="1" t="s">
        <v>74</v>
      </c>
      <c r="AS783" s="1" t="s">
        <v>74</v>
      </c>
      <c r="AT783" s="1" t="s">
        <v>1967</v>
      </c>
      <c r="AU783" s="1">
        <v>2021.0</v>
      </c>
      <c r="AV783" s="1">
        <v>11.0</v>
      </c>
      <c r="AW783" s="1">
        <v>1.0</v>
      </c>
      <c r="AX783" s="1" t="s">
        <v>74</v>
      </c>
      <c r="AY783" s="1" t="s">
        <v>74</v>
      </c>
      <c r="AZ783" s="1" t="s">
        <v>74</v>
      </c>
      <c r="BA783" s="1" t="s">
        <v>74</v>
      </c>
      <c r="BB783" s="1" t="s">
        <v>74</v>
      </c>
      <c r="BC783" s="1" t="s">
        <v>74</v>
      </c>
      <c r="BD783" s="1">
        <v>19822.0</v>
      </c>
      <c r="BE783" s="1" t="s">
        <v>7876</v>
      </c>
      <c r="BF783" s="2" t="str">
        <f>HYPERLINK("http://dx.doi.org/10.1038/s41598-021-98622-4","http://dx.doi.org/10.1038/s41598-021-98622-4")</f>
        <v>http://dx.doi.org/10.1038/s41598-021-98622-4</v>
      </c>
      <c r="BG783" s="1" t="s">
        <v>74</v>
      </c>
      <c r="BH783" s="1" t="s">
        <v>74</v>
      </c>
      <c r="BI783" s="1" t="s">
        <v>74</v>
      </c>
      <c r="BJ783" s="1" t="s">
        <v>74</v>
      </c>
      <c r="BK783" s="1" t="s">
        <v>74</v>
      </c>
      <c r="BL783" s="1" t="s">
        <v>74</v>
      </c>
      <c r="BM783" s="1" t="s">
        <v>74</v>
      </c>
      <c r="BN783" s="1">
        <v>3.4615892E7</v>
      </c>
      <c r="BO783" s="1" t="s">
        <v>74</v>
      </c>
      <c r="BP783" s="1" t="s">
        <v>74</v>
      </c>
      <c r="BQ783" s="1" t="s">
        <v>74</v>
      </c>
      <c r="BR783" s="1" t="s">
        <v>74</v>
      </c>
      <c r="BS783" s="1" t="s">
        <v>7877</v>
      </c>
      <c r="BT783" s="1" t="str">
        <f>HYPERLINK("https%3A%2F%2Fwww.webofscience.com%2Fwos%2Fwoscc%2Ffull-record%2FWOS:000706380800038","View Full Record in Web of Science")</f>
        <v>View Full Record in Web of Science</v>
      </c>
    </row>
    <row r="784" ht="12.75" customHeight="1">
      <c r="A784" s="1" t="s">
        <v>72</v>
      </c>
      <c r="B784" s="1" t="s">
        <v>7878</v>
      </c>
      <c r="C784" s="1" t="s">
        <v>74</v>
      </c>
      <c r="D784" s="1" t="s">
        <v>74</v>
      </c>
      <c r="E784" s="1" t="s">
        <v>74</v>
      </c>
      <c r="F784" s="1" t="s">
        <v>7879</v>
      </c>
      <c r="G784" s="1" t="s">
        <v>74</v>
      </c>
      <c r="H784" s="1" t="s">
        <v>74</v>
      </c>
      <c r="I784" s="1" t="s">
        <v>7880</v>
      </c>
      <c r="J784" s="1" t="s">
        <v>4926</v>
      </c>
      <c r="K784" s="1" t="s">
        <v>74</v>
      </c>
      <c r="L784" s="1" t="s">
        <v>74</v>
      </c>
      <c r="M784" s="1" t="s">
        <v>74</v>
      </c>
      <c r="N784" s="1" t="s">
        <v>74</v>
      </c>
      <c r="O784" s="1" t="s">
        <v>74</v>
      </c>
      <c r="P784" s="1" t="s">
        <v>74</v>
      </c>
      <c r="Q784" s="1" t="s">
        <v>74</v>
      </c>
      <c r="R784" s="1" t="s">
        <v>74</v>
      </c>
      <c r="S784" s="1" t="s">
        <v>74</v>
      </c>
      <c r="T784" s="1" t="s">
        <v>74</v>
      </c>
      <c r="U784" s="1" t="s">
        <v>74</v>
      </c>
      <c r="V784" s="1" t="s">
        <v>7881</v>
      </c>
      <c r="W784" s="1" t="s">
        <v>74</v>
      </c>
      <c r="X784" s="1" t="s">
        <v>74</v>
      </c>
      <c r="Y784" s="1" t="s">
        <v>74</v>
      </c>
      <c r="Z784" s="1" t="s">
        <v>74</v>
      </c>
      <c r="AA784" s="1" t="s">
        <v>7882</v>
      </c>
      <c r="AB784" s="1" t="s">
        <v>7883</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74</v>
      </c>
      <c r="AP784" s="1" t="s">
        <v>4930</v>
      </c>
      <c r="AQ784" s="1" t="s">
        <v>74</v>
      </c>
      <c r="AR784" s="1" t="s">
        <v>74</v>
      </c>
      <c r="AS784" s="1" t="s">
        <v>74</v>
      </c>
      <c r="AT784" s="1" t="s">
        <v>334</v>
      </c>
      <c r="AU784" s="1">
        <v>2021.0</v>
      </c>
      <c r="AV784" s="1">
        <v>11.0</v>
      </c>
      <c r="AW784" s="1">
        <v>10.0</v>
      </c>
      <c r="AX784" s="1" t="s">
        <v>74</v>
      </c>
      <c r="AY784" s="1" t="s">
        <v>74</v>
      </c>
      <c r="AZ784" s="1" t="s">
        <v>74</v>
      </c>
      <c r="BA784" s="1" t="s">
        <v>74</v>
      </c>
      <c r="BB784" s="1" t="s">
        <v>74</v>
      </c>
      <c r="BC784" s="1" t="s">
        <v>74</v>
      </c>
      <c r="BD784" s="1">
        <v>1230.0</v>
      </c>
      <c r="BE784" s="1" t="s">
        <v>7884</v>
      </c>
      <c r="BF784" s="2" t="str">
        <f>HYPERLINK("http://dx.doi.org/10.3390/cryst11101230","http://dx.doi.org/10.3390/cryst11101230")</f>
        <v>http://dx.doi.org/10.3390/cryst11101230</v>
      </c>
      <c r="BG784" s="1" t="s">
        <v>74</v>
      </c>
      <c r="BH784" s="1" t="s">
        <v>74</v>
      </c>
      <c r="BI784" s="1" t="s">
        <v>74</v>
      </c>
      <c r="BJ784" s="1" t="s">
        <v>74</v>
      </c>
      <c r="BK784" s="1" t="s">
        <v>74</v>
      </c>
      <c r="BL784" s="1" t="s">
        <v>74</v>
      </c>
      <c r="BM784" s="1" t="s">
        <v>74</v>
      </c>
      <c r="BN784" s="1" t="s">
        <v>74</v>
      </c>
      <c r="BO784" s="1" t="s">
        <v>74</v>
      </c>
      <c r="BP784" s="1" t="s">
        <v>74</v>
      </c>
      <c r="BQ784" s="1" t="s">
        <v>74</v>
      </c>
      <c r="BR784" s="1" t="s">
        <v>74</v>
      </c>
      <c r="BS784" s="1" t="s">
        <v>7885</v>
      </c>
      <c r="BT784" s="1" t="str">
        <f>HYPERLINK("https%3A%2F%2Fwww.webofscience.com%2Fwos%2Fwoscc%2Ffull-record%2FWOS:000714896300001","View Full Record in Web of Science")</f>
        <v>View Full Record in Web of Science</v>
      </c>
    </row>
    <row r="785" ht="12.75" customHeight="1">
      <c r="A785" s="1" t="s">
        <v>72</v>
      </c>
      <c r="B785" s="1" t="s">
        <v>7886</v>
      </c>
      <c r="C785" s="1" t="s">
        <v>74</v>
      </c>
      <c r="D785" s="1" t="s">
        <v>74</v>
      </c>
      <c r="E785" s="1" t="s">
        <v>74</v>
      </c>
      <c r="F785" s="1" t="s">
        <v>7887</v>
      </c>
      <c r="G785" s="1" t="s">
        <v>74</v>
      </c>
      <c r="H785" s="1" t="s">
        <v>74</v>
      </c>
      <c r="I785" s="1" t="s">
        <v>7888</v>
      </c>
      <c r="J785" s="1" t="s">
        <v>1226</v>
      </c>
      <c r="K785" s="1" t="s">
        <v>74</v>
      </c>
      <c r="L785" s="1" t="s">
        <v>74</v>
      </c>
      <c r="M785" s="1" t="s">
        <v>74</v>
      </c>
      <c r="N785" s="1" t="s">
        <v>74</v>
      </c>
      <c r="O785" s="1" t="s">
        <v>74</v>
      </c>
      <c r="P785" s="1" t="s">
        <v>74</v>
      </c>
      <c r="Q785" s="1" t="s">
        <v>74</v>
      </c>
      <c r="R785" s="1" t="s">
        <v>74</v>
      </c>
      <c r="S785" s="1" t="s">
        <v>74</v>
      </c>
      <c r="T785" s="1" t="s">
        <v>74</v>
      </c>
      <c r="U785" s="1" t="s">
        <v>74</v>
      </c>
      <c r="V785" s="1" t="s">
        <v>7889</v>
      </c>
      <c r="W785" s="1" t="s">
        <v>74</v>
      </c>
      <c r="X785" s="1" t="s">
        <v>74</v>
      </c>
      <c r="Y785" s="1" t="s">
        <v>74</v>
      </c>
      <c r="Z785" s="1" t="s">
        <v>74</v>
      </c>
      <c r="AA785" s="1" t="s">
        <v>7890</v>
      </c>
      <c r="AB785" s="1" t="s">
        <v>7891</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1228</v>
      </c>
      <c r="AP785" s="1" t="s">
        <v>1229</v>
      </c>
      <c r="AQ785" s="1" t="s">
        <v>74</v>
      </c>
      <c r="AR785" s="1" t="s">
        <v>74</v>
      </c>
      <c r="AS785" s="1" t="s">
        <v>74</v>
      </c>
      <c r="AT785" s="1" t="s">
        <v>7892</v>
      </c>
      <c r="AU785" s="1">
        <v>2023.0</v>
      </c>
      <c r="AV785" s="1">
        <v>680.0</v>
      </c>
      <c r="AW785" s="1" t="s">
        <v>74</v>
      </c>
      <c r="AX785" s="1" t="s">
        <v>74</v>
      </c>
      <c r="AY785" s="1" t="s">
        <v>74</v>
      </c>
      <c r="AZ785" s="1" t="s">
        <v>74</v>
      </c>
      <c r="BA785" s="1" t="s">
        <v>74</v>
      </c>
      <c r="BB785" s="1" t="s">
        <v>74</v>
      </c>
      <c r="BC785" s="1" t="s">
        <v>74</v>
      </c>
      <c r="BD785" s="1" t="s">
        <v>7893</v>
      </c>
      <c r="BE785" s="1" t="s">
        <v>7894</v>
      </c>
      <c r="BF785" s="2" t="str">
        <f>HYPERLINK("http://dx.doi.org/10.1051/0004-6361/202346669","http://dx.doi.org/10.1051/0004-6361/202346669")</f>
        <v>http://dx.doi.org/10.1051/0004-6361/202346669</v>
      </c>
      <c r="BG785" s="1" t="s">
        <v>74</v>
      </c>
      <c r="BH785" s="1" t="s">
        <v>74</v>
      </c>
      <c r="BI785" s="1" t="s">
        <v>74</v>
      </c>
      <c r="BJ785" s="1" t="s">
        <v>74</v>
      </c>
      <c r="BK785" s="1" t="s">
        <v>74</v>
      </c>
      <c r="BL785" s="1" t="s">
        <v>74</v>
      </c>
      <c r="BM785" s="1" t="s">
        <v>74</v>
      </c>
      <c r="BN785" s="1" t="s">
        <v>74</v>
      </c>
      <c r="BO785" s="1" t="s">
        <v>74</v>
      </c>
      <c r="BP785" s="1" t="s">
        <v>74</v>
      </c>
      <c r="BQ785" s="1" t="s">
        <v>74</v>
      </c>
      <c r="BR785" s="1" t="s">
        <v>74</v>
      </c>
      <c r="BS785" s="1" t="s">
        <v>7895</v>
      </c>
      <c r="BT785" s="1" t="str">
        <f>HYPERLINK("https%3A%2F%2Fwww.webofscience.com%2Fwos%2Fwoscc%2Ffull-record%2FWOS:001142569000007","View Full Record in Web of Science")</f>
        <v>View Full Record in Web of Science</v>
      </c>
    </row>
    <row r="786" ht="12.75" customHeight="1">
      <c r="A786" s="1" t="s">
        <v>72</v>
      </c>
      <c r="B786" s="1" t="s">
        <v>7896</v>
      </c>
      <c r="C786" s="1" t="s">
        <v>74</v>
      </c>
      <c r="D786" s="1" t="s">
        <v>74</v>
      </c>
      <c r="E786" s="1" t="s">
        <v>74</v>
      </c>
      <c r="F786" s="1" t="s">
        <v>7897</v>
      </c>
      <c r="G786" s="1" t="s">
        <v>74</v>
      </c>
      <c r="H786" s="1" t="s">
        <v>74</v>
      </c>
      <c r="I786" s="1" t="s">
        <v>7898</v>
      </c>
      <c r="J786" s="1" t="s">
        <v>7899</v>
      </c>
      <c r="K786" s="1" t="s">
        <v>74</v>
      </c>
      <c r="L786" s="1" t="s">
        <v>74</v>
      </c>
      <c r="M786" s="1" t="s">
        <v>74</v>
      </c>
      <c r="N786" s="1" t="s">
        <v>74</v>
      </c>
      <c r="O786" s="1" t="s">
        <v>74</v>
      </c>
      <c r="P786" s="1" t="s">
        <v>74</v>
      </c>
      <c r="Q786" s="1" t="s">
        <v>74</v>
      </c>
      <c r="R786" s="1" t="s">
        <v>74</v>
      </c>
      <c r="S786" s="1" t="s">
        <v>74</v>
      </c>
      <c r="T786" s="1" t="s">
        <v>74</v>
      </c>
      <c r="U786" s="1" t="s">
        <v>74</v>
      </c>
      <c r="V786" s="1" t="s">
        <v>74</v>
      </c>
      <c r="W786" s="1" t="s">
        <v>74</v>
      </c>
      <c r="X786" s="1" t="s">
        <v>74</v>
      </c>
      <c r="Y786" s="1" t="s">
        <v>74</v>
      </c>
      <c r="Z786" s="1" t="s">
        <v>74</v>
      </c>
      <c r="AA786" s="1" t="s">
        <v>7900</v>
      </c>
      <c r="AB786" s="1" t="s">
        <v>7901</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7902</v>
      </c>
      <c r="AP786" s="1" t="s">
        <v>7903</v>
      </c>
      <c r="AQ786" s="1" t="s">
        <v>74</v>
      </c>
      <c r="AR786" s="1" t="s">
        <v>74</v>
      </c>
      <c r="AS786" s="1" t="s">
        <v>74</v>
      </c>
      <c r="AT786" s="1" t="s">
        <v>392</v>
      </c>
      <c r="AU786" s="1">
        <v>2021.0</v>
      </c>
      <c r="AV786" s="1">
        <v>83.0</v>
      </c>
      <c r="AW786" s="1" t="s">
        <v>74</v>
      </c>
      <c r="AX786" s="1" t="s">
        <v>74</v>
      </c>
      <c r="AY786" s="1" t="s">
        <v>74</v>
      </c>
      <c r="AZ786" s="1" t="s">
        <v>74</v>
      </c>
      <c r="BA786" s="1" t="s">
        <v>74</v>
      </c>
      <c r="BB786" s="1">
        <v>257.0</v>
      </c>
      <c r="BC786" s="1">
        <v>267.0</v>
      </c>
      <c r="BD786" s="1" t="s">
        <v>74</v>
      </c>
      <c r="BE786" s="1" t="s">
        <v>7904</v>
      </c>
      <c r="BF786" s="2" t="str">
        <f>HYPERLINK("http://dx.doi.org/10.1016/j.jrurstud.2021.02.003","http://dx.doi.org/10.1016/j.jrurstud.2021.02.003")</f>
        <v>http://dx.doi.org/10.1016/j.jrurstud.2021.02.003</v>
      </c>
      <c r="BG786" s="1" t="s">
        <v>74</v>
      </c>
      <c r="BH786" s="1" t="s">
        <v>241</v>
      </c>
      <c r="BI786" s="1" t="s">
        <v>74</v>
      </c>
      <c r="BJ786" s="1" t="s">
        <v>74</v>
      </c>
      <c r="BK786" s="1" t="s">
        <v>74</v>
      </c>
      <c r="BL786" s="1" t="s">
        <v>74</v>
      </c>
      <c r="BM786" s="1" t="s">
        <v>74</v>
      </c>
      <c r="BN786" s="1" t="s">
        <v>74</v>
      </c>
      <c r="BO786" s="1" t="s">
        <v>74</v>
      </c>
      <c r="BP786" s="1" t="s">
        <v>74</v>
      </c>
      <c r="BQ786" s="1" t="s">
        <v>74</v>
      </c>
      <c r="BR786" s="1" t="s">
        <v>74</v>
      </c>
      <c r="BS786" s="1" t="s">
        <v>7905</v>
      </c>
      <c r="BT786" s="1" t="str">
        <f>HYPERLINK("https%3A%2F%2Fwww.webofscience.com%2Fwos%2Fwoscc%2Ffull-record%2FWOS:000636688600026","View Full Record in Web of Science")</f>
        <v>View Full Record in Web of Science</v>
      </c>
    </row>
    <row r="787" ht="12.75" customHeight="1">
      <c r="A787" s="1" t="s">
        <v>72</v>
      </c>
      <c r="B787" s="1" t="s">
        <v>7906</v>
      </c>
      <c r="C787" s="1" t="s">
        <v>74</v>
      </c>
      <c r="D787" s="1" t="s">
        <v>74</v>
      </c>
      <c r="E787" s="1" t="s">
        <v>74</v>
      </c>
      <c r="F787" s="1" t="s">
        <v>7907</v>
      </c>
      <c r="G787" s="1" t="s">
        <v>74</v>
      </c>
      <c r="H787" s="1" t="s">
        <v>74</v>
      </c>
      <c r="I787" s="1" t="s">
        <v>7908</v>
      </c>
      <c r="J787" s="1" t="s">
        <v>6374</v>
      </c>
      <c r="K787" s="1" t="s">
        <v>74</v>
      </c>
      <c r="L787" s="1" t="s">
        <v>74</v>
      </c>
      <c r="M787" s="1" t="s">
        <v>74</v>
      </c>
      <c r="N787" s="1" t="s">
        <v>74</v>
      </c>
      <c r="O787" s="1" t="s">
        <v>74</v>
      </c>
      <c r="P787" s="1" t="s">
        <v>74</v>
      </c>
      <c r="Q787" s="1" t="s">
        <v>74</v>
      </c>
      <c r="R787" s="1" t="s">
        <v>74</v>
      </c>
      <c r="S787" s="1" t="s">
        <v>74</v>
      </c>
      <c r="T787" s="1" t="s">
        <v>74</v>
      </c>
      <c r="U787" s="1" t="s">
        <v>74</v>
      </c>
      <c r="V787" s="1" t="s">
        <v>74</v>
      </c>
      <c r="W787" s="1" t="s">
        <v>74</v>
      </c>
      <c r="X787" s="1" t="s">
        <v>74</v>
      </c>
      <c r="Y787" s="1" t="s">
        <v>74</v>
      </c>
      <c r="Z787" s="1" t="s">
        <v>74</v>
      </c>
      <c r="AA787" s="1" t="s">
        <v>7909</v>
      </c>
      <c r="AB787" s="1" t="s">
        <v>6376</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6377</v>
      </c>
      <c r="AP787" s="1" t="s">
        <v>6378</v>
      </c>
      <c r="AQ787" s="1" t="s">
        <v>74</v>
      </c>
      <c r="AR787" s="1" t="s">
        <v>74</v>
      </c>
      <c r="AS787" s="1" t="s">
        <v>74</v>
      </c>
      <c r="AT787" s="1" t="s">
        <v>141</v>
      </c>
      <c r="AU787" s="1">
        <v>2022.0</v>
      </c>
      <c r="AV787" s="1">
        <v>54.0</v>
      </c>
      <c r="AW787" s="1">
        <v>9.0</v>
      </c>
      <c r="AX787" s="1" t="s">
        <v>74</v>
      </c>
      <c r="AY787" s="1" t="s">
        <v>1303</v>
      </c>
      <c r="AZ787" s="1" t="s">
        <v>74</v>
      </c>
      <c r="BA787" s="1">
        <v>2471.0</v>
      </c>
      <c r="BB787" s="1">
        <v>468.0</v>
      </c>
      <c r="BC787" s="1">
        <v>468.0</v>
      </c>
      <c r="BD787" s="1" t="s">
        <v>74</v>
      </c>
      <c r="BE787" s="1" t="s">
        <v>74</v>
      </c>
      <c r="BF787" s="1" t="s">
        <v>74</v>
      </c>
      <c r="BG787" s="1" t="s">
        <v>74</v>
      </c>
      <c r="BH787" s="1" t="s">
        <v>74</v>
      </c>
      <c r="BI787" s="1" t="s">
        <v>74</v>
      </c>
      <c r="BJ787" s="1" t="s">
        <v>74</v>
      </c>
      <c r="BK787" s="1" t="s">
        <v>74</v>
      </c>
      <c r="BL787" s="1" t="s">
        <v>74</v>
      </c>
      <c r="BM787" s="1" t="s">
        <v>74</v>
      </c>
      <c r="BN787" s="1" t="s">
        <v>74</v>
      </c>
      <c r="BO787" s="1" t="s">
        <v>74</v>
      </c>
      <c r="BP787" s="1" t="s">
        <v>74</v>
      </c>
      <c r="BQ787" s="1" t="s">
        <v>74</v>
      </c>
      <c r="BR787" s="1" t="s">
        <v>74</v>
      </c>
      <c r="BS787" s="1" t="s">
        <v>7910</v>
      </c>
      <c r="BT787" s="1" t="str">
        <f>HYPERLINK("https%3A%2F%2Fwww.webofscience.com%2Fwos%2Fwoscc%2Ffull-record%2FWOS:000888056602093","View Full Record in Web of Science")</f>
        <v>View Full Record in Web of Science</v>
      </c>
    </row>
    <row r="788" ht="12.75" customHeight="1">
      <c r="A788" s="1" t="s">
        <v>462</v>
      </c>
      <c r="B788" s="1" t="s">
        <v>7911</v>
      </c>
      <c r="C788" s="1" t="s">
        <v>74</v>
      </c>
      <c r="D788" s="1" t="s">
        <v>74</v>
      </c>
      <c r="E788" s="1" t="s">
        <v>489</v>
      </c>
      <c r="F788" s="1" t="s">
        <v>7912</v>
      </c>
      <c r="G788" s="1" t="s">
        <v>74</v>
      </c>
      <c r="H788" s="1" t="s">
        <v>74</v>
      </c>
      <c r="I788" s="1" t="s">
        <v>7913</v>
      </c>
      <c r="J788" s="1" t="s">
        <v>7914</v>
      </c>
      <c r="K788" s="1" t="s">
        <v>74</v>
      </c>
      <c r="L788" s="1" t="s">
        <v>74</v>
      </c>
      <c r="M788" s="1" t="s">
        <v>74</v>
      </c>
      <c r="N788" s="1" t="s">
        <v>74</v>
      </c>
      <c r="O788" s="1" t="s">
        <v>7915</v>
      </c>
      <c r="P788" s="1" t="s">
        <v>7916</v>
      </c>
      <c r="Q788" s="1" t="s">
        <v>470</v>
      </c>
      <c r="R788" s="1" t="s">
        <v>7917</v>
      </c>
      <c r="S788" s="1" t="s">
        <v>74</v>
      </c>
      <c r="T788" s="1" t="s">
        <v>74</v>
      </c>
      <c r="U788" s="1" t="s">
        <v>74</v>
      </c>
      <c r="V788" s="1" t="s">
        <v>7918</v>
      </c>
      <c r="W788" s="1" t="s">
        <v>74</v>
      </c>
      <c r="X788" s="1" t="s">
        <v>74</v>
      </c>
      <c r="Y788" s="1" t="s">
        <v>74</v>
      </c>
      <c r="Z788" s="1" t="s">
        <v>74</v>
      </c>
      <c r="AA788" s="1" t="s">
        <v>7919</v>
      </c>
      <c r="AB788" s="1" t="s">
        <v>7920</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74</v>
      </c>
      <c r="AP788" s="1" t="s">
        <v>74</v>
      </c>
      <c r="AQ788" s="1" t="s">
        <v>7921</v>
      </c>
      <c r="AR788" s="1" t="s">
        <v>74</v>
      </c>
      <c r="AS788" s="1" t="s">
        <v>74</v>
      </c>
      <c r="AT788" s="1" t="s">
        <v>74</v>
      </c>
      <c r="AU788" s="1">
        <v>2020.0</v>
      </c>
      <c r="AV788" s="1" t="s">
        <v>74</v>
      </c>
      <c r="AW788" s="1" t="s">
        <v>74</v>
      </c>
      <c r="AX788" s="1" t="s">
        <v>74</v>
      </c>
      <c r="AY788" s="1" t="s">
        <v>74</v>
      </c>
      <c r="AZ788" s="1" t="s">
        <v>74</v>
      </c>
      <c r="BA788" s="1" t="s">
        <v>74</v>
      </c>
      <c r="BB788" s="1" t="s">
        <v>74</v>
      </c>
      <c r="BC788" s="1" t="s">
        <v>74</v>
      </c>
      <c r="BD788" s="1" t="s">
        <v>74</v>
      </c>
      <c r="BE788" s="1" t="s">
        <v>7922</v>
      </c>
      <c r="BF788" s="2" t="str">
        <f>HYPERLINK("http://dx.doi.org/10.1109/ijcb48548.2020.9304941","http://dx.doi.org/10.1109/ijcb48548.2020.9304941")</f>
        <v>http://dx.doi.org/10.1109/ijcb48548.2020.9304941</v>
      </c>
      <c r="BG788" s="1" t="s">
        <v>74</v>
      </c>
      <c r="BH788" s="1" t="s">
        <v>74</v>
      </c>
      <c r="BI788" s="1" t="s">
        <v>74</v>
      </c>
      <c r="BJ788" s="1" t="s">
        <v>74</v>
      </c>
      <c r="BK788" s="1" t="s">
        <v>74</v>
      </c>
      <c r="BL788" s="1" t="s">
        <v>74</v>
      </c>
      <c r="BM788" s="1" t="s">
        <v>74</v>
      </c>
      <c r="BN788" s="1" t="s">
        <v>74</v>
      </c>
      <c r="BO788" s="1" t="s">
        <v>74</v>
      </c>
      <c r="BP788" s="1" t="s">
        <v>74</v>
      </c>
      <c r="BQ788" s="1" t="s">
        <v>74</v>
      </c>
      <c r="BR788" s="1" t="s">
        <v>74</v>
      </c>
      <c r="BS788" s="1" t="s">
        <v>7923</v>
      </c>
      <c r="BT788" s="1" t="str">
        <f>HYPERLINK("https%3A%2F%2Fwww.webofscience.com%2Fwos%2Fwoscc%2Ffull-record%2FWOS:000723870900085","View Full Record in Web of Science")</f>
        <v>View Full Record in Web of Science</v>
      </c>
    </row>
    <row r="789" ht="12.75" customHeight="1">
      <c r="A789" s="1" t="s">
        <v>72</v>
      </c>
      <c r="B789" s="1" t="s">
        <v>7924</v>
      </c>
      <c r="C789" s="1" t="s">
        <v>74</v>
      </c>
      <c r="D789" s="1" t="s">
        <v>74</v>
      </c>
      <c r="E789" s="1" t="s">
        <v>74</v>
      </c>
      <c r="F789" s="1" t="s">
        <v>7925</v>
      </c>
      <c r="G789" s="1" t="s">
        <v>74</v>
      </c>
      <c r="H789" s="1" t="s">
        <v>74</v>
      </c>
      <c r="I789" s="1" t="s">
        <v>7926</v>
      </c>
      <c r="J789" s="1" t="s">
        <v>7927</v>
      </c>
      <c r="K789" s="1" t="s">
        <v>74</v>
      </c>
      <c r="L789" s="1" t="s">
        <v>74</v>
      </c>
      <c r="M789" s="1" t="s">
        <v>74</v>
      </c>
      <c r="N789" s="1" t="s">
        <v>74</v>
      </c>
      <c r="O789" s="1" t="s">
        <v>74</v>
      </c>
      <c r="P789" s="1" t="s">
        <v>74</v>
      </c>
      <c r="Q789" s="1" t="s">
        <v>74</v>
      </c>
      <c r="R789" s="1" t="s">
        <v>74</v>
      </c>
      <c r="S789" s="1" t="s">
        <v>74</v>
      </c>
      <c r="T789" s="1" t="s">
        <v>74</v>
      </c>
      <c r="U789" s="1" t="s">
        <v>74</v>
      </c>
      <c r="V789" s="1" t="s">
        <v>74</v>
      </c>
      <c r="W789" s="1" t="s">
        <v>74</v>
      </c>
      <c r="X789" s="1" t="s">
        <v>74</v>
      </c>
      <c r="Y789" s="1" t="s">
        <v>74</v>
      </c>
      <c r="Z789" s="1" t="s">
        <v>74</v>
      </c>
      <c r="AA789" s="1" t="s">
        <v>7928</v>
      </c>
      <c r="AB789" s="1" t="s">
        <v>7929</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7930</v>
      </c>
      <c r="AP789" s="1" t="s">
        <v>7931</v>
      </c>
      <c r="AQ789" s="1" t="s">
        <v>74</v>
      </c>
      <c r="AR789" s="1" t="s">
        <v>74</v>
      </c>
      <c r="AS789" s="1" t="s">
        <v>74</v>
      </c>
      <c r="AT789" s="1" t="s">
        <v>6669</v>
      </c>
      <c r="AU789" s="1">
        <v>2019.0</v>
      </c>
      <c r="AV789" s="1">
        <v>53.0</v>
      </c>
      <c r="AW789" s="1">
        <v>21.0</v>
      </c>
      <c r="AX789" s="1" t="s">
        <v>74</v>
      </c>
      <c r="AY789" s="1" t="s">
        <v>74</v>
      </c>
      <c r="AZ789" s="1" t="s">
        <v>74</v>
      </c>
      <c r="BA789" s="1" t="s">
        <v>74</v>
      </c>
      <c r="BB789" s="1">
        <v>12153.0</v>
      </c>
      <c r="BC789" s="1">
        <v>12155.0</v>
      </c>
      <c r="BD789" s="1" t="s">
        <v>74</v>
      </c>
      <c r="BE789" s="1" t="s">
        <v>7932</v>
      </c>
      <c r="BF789" s="2" t="str">
        <f>HYPERLINK("http://dx.doi.org/10.1021/acs.est.9b05586","http://dx.doi.org/10.1021/acs.est.9b05586")</f>
        <v>http://dx.doi.org/10.1021/acs.est.9b05586</v>
      </c>
      <c r="BG789" s="1" t="s">
        <v>74</v>
      </c>
      <c r="BH789" s="1" t="s">
        <v>74</v>
      </c>
      <c r="BI789" s="1" t="s">
        <v>74</v>
      </c>
      <c r="BJ789" s="1" t="s">
        <v>74</v>
      </c>
      <c r="BK789" s="1" t="s">
        <v>74</v>
      </c>
      <c r="BL789" s="1" t="s">
        <v>74</v>
      </c>
      <c r="BM789" s="1" t="s">
        <v>74</v>
      </c>
      <c r="BN789" s="1">
        <v>3.1618008E7</v>
      </c>
      <c r="BO789" s="1" t="s">
        <v>74</v>
      </c>
      <c r="BP789" s="1" t="s">
        <v>74</v>
      </c>
      <c r="BQ789" s="1" t="s">
        <v>74</v>
      </c>
      <c r="BR789" s="1" t="s">
        <v>74</v>
      </c>
      <c r="BS789" s="1" t="s">
        <v>7933</v>
      </c>
      <c r="BT789" s="1" t="str">
        <f>HYPERLINK("https%3A%2F%2Fwww.webofscience.com%2Fwos%2Fwoscc%2Ffull-record%2FWOS:000495467500002","View Full Record in Web of Science")</f>
        <v>View Full Record in Web of Science</v>
      </c>
    </row>
    <row r="790" ht="12.75" customHeight="1">
      <c r="A790" s="1" t="s">
        <v>72</v>
      </c>
      <c r="B790" s="1" t="s">
        <v>7934</v>
      </c>
      <c r="C790" s="1" t="s">
        <v>74</v>
      </c>
      <c r="D790" s="1" t="s">
        <v>74</v>
      </c>
      <c r="E790" s="1" t="s">
        <v>74</v>
      </c>
      <c r="F790" s="1" t="s">
        <v>7935</v>
      </c>
      <c r="G790" s="1" t="s">
        <v>74</v>
      </c>
      <c r="H790" s="1" t="s">
        <v>74</v>
      </c>
      <c r="I790" s="1" t="s">
        <v>7936</v>
      </c>
      <c r="J790" s="1" t="s">
        <v>7617</v>
      </c>
      <c r="K790" s="1" t="s">
        <v>74</v>
      </c>
      <c r="L790" s="1" t="s">
        <v>74</v>
      </c>
      <c r="M790" s="1" t="s">
        <v>74</v>
      </c>
      <c r="N790" s="1" t="s">
        <v>74</v>
      </c>
      <c r="O790" s="1" t="s">
        <v>74</v>
      </c>
      <c r="P790" s="1" t="s">
        <v>74</v>
      </c>
      <c r="Q790" s="1" t="s">
        <v>74</v>
      </c>
      <c r="R790" s="1" t="s">
        <v>74</v>
      </c>
      <c r="S790" s="1" t="s">
        <v>74</v>
      </c>
      <c r="T790" s="1" t="s">
        <v>74</v>
      </c>
      <c r="U790" s="1" t="s">
        <v>74</v>
      </c>
      <c r="V790" s="1" t="s">
        <v>7937</v>
      </c>
      <c r="W790" s="1" t="s">
        <v>74</v>
      </c>
      <c r="X790" s="1" t="s">
        <v>74</v>
      </c>
      <c r="Y790" s="1" t="s">
        <v>74</v>
      </c>
      <c r="Z790" s="1" t="s">
        <v>74</v>
      </c>
      <c r="AA790" s="1" t="s">
        <v>7938</v>
      </c>
      <c r="AB790" s="1" t="s">
        <v>7939</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7621</v>
      </c>
      <c r="AP790" s="1" t="s">
        <v>74</v>
      </c>
      <c r="AQ790" s="1" t="s">
        <v>74</v>
      </c>
      <c r="AR790" s="1" t="s">
        <v>74</v>
      </c>
      <c r="AS790" s="1" t="s">
        <v>74</v>
      </c>
      <c r="AT790" s="1" t="s">
        <v>214</v>
      </c>
      <c r="AU790" s="1">
        <v>2023.0</v>
      </c>
      <c r="AV790" s="1">
        <v>50.0</v>
      </c>
      <c r="AW790" s="1">
        <v>1.0</v>
      </c>
      <c r="AX790" s="1" t="s">
        <v>74</v>
      </c>
      <c r="AY790" s="1" t="s">
        <v>74</v>
      </c>
      <c r="AZ790" s="1" t="s">
        <v>74</v>
      </c>
      <c r="BA790" s="1" t="s">
        <v>74</v>
      </c>
      <c r="BB790" s="1">
        <v>20.0</v>
      </c>
      <c r="BC790" s="1">
        <v>26.0</v>
      </c>
      <c r="BD790" s="1" t="s">
        <v>74</v>
      </c>
      <c r="BE790" s="1" t="s">
        <v>7940</v>
      </c>
      <c r="BF790" s="2" t="str">
        <f>HYPERLINK("http://dx.doi.org/10.4067/S0717-75182023000100020","http://dx.doi.org/10.4067/S0717-75182023000100020")</f>
        <v>http://dx.doi.org/10.4067/S0717-75182023000100020</v>
      </c>
      <c r="BG790" s="1" t="s">
        <v>74</v>
      </c>
      <c r="BH790" s="1" t="s">
        <v>74</v>
      </c>
      <c r="BI790" s="1" t="s">
        <v>74</v>
      </c>
      <c r="BJ790" s="1" t="s">
        <v>74</v>
      </c>
      <c r="BK790" s="1" t="s">
        <v>74</v>
      </c>
      <c r="BL790" s="1" t="s">
        <v>74</v>
      </c>
      <c r="BM790" s="1" t="s">
        <v>74</v>
      </c>
      <c r="BN790" s="1" t="s">
        <v>74</v>
      </c>
      <c r="BO790" s="1" t="s">
        <v>74</v>
      </c>
      <c r="BP790" s="1" t="s">
        <v>74</v>
      </c>
      <c r="BQ790" s="1" t="s">
        <v>74</v>
      </c>
      <c r="BR790" s="1" t="s">
        <v>74</v>
      </c>
      <c r="BS790" s="1" t="s">
        <v>7941</v>
      </c>
      <c r="BT790" s="1" t="str">
        <f>HYPERLINK("https%3A%2F%2Fwww.webofscience.com%2Fwos%2Fwoscc%2Ffull-record%2FWOS:000975450600002","View Full Record in Web of Science")</f>
        <v>View Full Record in Web of Science</v>
      </c>
    </row>
    <row r="791" ht="12.75" customHeight="1">
      <c r="A791" s="1" t="s">
        <v>72</v>
      </c>
      <c r="B791" s="1" t="s">
        <v>7942</v>
      </c>
      <c r="C791" s="1" t="s">
        <v>74</v>
      </c>
      <c r="D791" s="1" t="s">
        <v>74</v>
      </c>
      <c r="E791" s="1" t="s">
        <v>74</v>
      </c>
      <c r="F791" s="1" t="s">
        <v>7943</v>
      </c>
      <c r="G791" s="1" t="s">
        <v>74</v>
      </c>
      <c r="H791" s="1" t="s">
        <v>74</v>
      </c>
      <c r="I791" s="1" t="s">
        <v>7944</v>
      </c>
      <c r="J791" s="1" t="s">
        <v>7945</v>
      </c>
      <c r="K791" s="1" t="s">
        <v>74</v>
      </c>
      <c r="L791" s="1" t="s">
        <v>74</v>
      </c>
      <c r="M791" s="1" t="s">
        <v>74</v>
      </c>
      <c r="N791" s="1" t="s">
        <v>74</v>
      </c>
      <c r="O791" s="1" t="s">
        <v>74</v>
      </c>
      <c r="P791" s="1" t="s">
        <v>74</v>
      </c>
      <c r="Q791" s="1" t="s">
        <v>74</v>
      </c>
      <c r="R791" s="1" t="s">
        <v>74</v>
      </c>
      <c r="S791" s="1" t="s">
        <v>74</v>
      </c>
      <c r="T791" s="1" t="s">
        <v>74</v>
      </c>
      <c r="U791" s="1" t="s">
        <v>74</v>
      </c>
      <c r="V791" s="1" t="s">
        <v>7946</v>
      </c>
      <c r="W791" s="1" t="s">
        <v>74</v>
      </c>
      <c r="X791" s="1" t="s">
        <v>74</v>
      </c>
      <c r="Y791" s="1" t="s">
        <v>74</v>
      </c>
      <c r="Z791" s="1" t="s">
        <v>74</v>
      </c>
      <c r="AA791" s="1" t="s">
        <v>7947</v>
      </c>
      <c r="AB791" s="1" t="s">
        <v>74</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7948</v>
      </c>
      <c r="AP791" s="1" t="s">
        <v>74</v>
      </c>
      <c r="AQ791" s="1" t="s">
        <v>74</v>
      </c>
      <c r="AR791" s="1" t="s">
        <v>74</v>
      </c>
      <c r="AS791" s="1" t="s">
        <v>74</v>
      </c>
      <c r="AT791" s="1" t="s">
        <v>5955</v>
      </c>
      <c r="AU791" s="1">
        <v>2021.0</v>
      </c>
      <c r="AV791" s="1">
        <v>12.0</v>
      </c>
      <c r="AW791" s="1" t="s">
        <v>74</v>
      </c>
      <c r="AX791" s="1" t="s">
        <v>74</v>
      </c>
      <c r="AY791" s="1" t="s">
        <v>74</v>
      </c>
      <c r="AZ791" s="1" t="s">
        <v>74</v>
      </c>
      <c r="BA791" s="1" t="s">
        <v>74</v>
      </c>
      <c r="BB791" s="1" t="s">
        <v>74</v>
      </c>
      <c r="BC791" s="1" t="s">
        <v>74</v>
      </c>
      <c r="BD791" s="1">
        <v>702770.0</v>
      </c>
      <c r="BE791" s="1" t="s">
        <v>7949</v>
      </c>
      <c r="BF791" s="2" t="str">
        <f>HYPERLINK("http://dx.doi.org/10.3389/fneur.2021.702770","http://dx.doi.org/10.3389/fneur.2021.702770")</f>
        <v>http://dx.doi.org/10.3389/fneur.2021.702770</v>
      </c>
      <c r="BG791" s="1" t="s">
        <v>74</v>
      </c>
      <c r="BH791" s="1" t="s">
        <v>74</v>
      </c>
      <c r="BI791" s="1" t="s">
        <v>74</v>
      </c>
      <c r="BJ791" s="1" t="s">
        <v>74</v>
      </c>
      <c r="BK791" s="1" t="s">
        <v>74</v>
      </c>
      <c r="BL791" s="1" t="s">
        <v>74</v>
      </c>
      <c r="BM791" s="1" t="s">
        <v>74</v>
      </c>
      <c r="BN791" s="1">
        <v>3.4447348E7</v>
      </c>
      <c r="BO791" s="1" t="s">
        <v>74</v>
      </c>
      <c r="BP791" s="1" t="s">
        <v>74</v>
      </c>
      <c r="BQ791" s="1" t="s">
        <v>74</v>
      </c>
      <c r="BR791" s="1" t="s">
        <v>74</v>
      </c>
      <c r="BS791" s="1" t="s">
        <v>7950</v>
      </c>
      <c r="BT791" s="1" t="str">
        <f>HYPERLINK("https%3A%2F%2Fwww.webofscience.com%2Fwos%2Fwoscc%2Ffull-record%2FWOS:000685030600002","View Full Record in Web of Science")</f>
        <v>View Full Record in Web of Science</v>
      </c>
    </row>
    <row r="792" ht="12.75" customHeight="1">
      <c r="A792" s="1" t="s">
        <v>72</v>
      </c>
      <c r="B792" s="1" t="s">
        <v>7951</v>
      </c>
      <c r="C792" s="1" t="s">
        <v>74</v>
      </c>
      <c r="D792" s="1" t="s">
        <v>74</v>
      </c>
      <c r="E792" s="1" t="s">
        <v>74</v>
      </c>
      <c r="F792" s="1" t="s">
        <v>7952</v>
      </c>
      <c r="G792" s="1" t="s">
        <v>74</v>
      </c>
      <c r="H792" s="1" t="s">
        <v>74</v>
      </c>
      <c r="I792" s="1" t="s">
        <v>7953</v>
      </c>
      <c r="J792" s="1" t="s">
        <v>7954</v>
      </c>
      <c r="K792" s="1" t="s">
        <v>74</v>
      </c>
      <c r="L792" s="1" t="s">
        <v>74</v>
      </c>
      <c r="M792" s="1" t="s">
        <v>74</v>
      </c>
      <c r="N792" s="1" t="s">
        <v>74</v>
      </c>
      <c r="O792" s="1" t="s">
        <v>74</v>
      </c>
      <c r="P792" s="1" t="s">
        <v>74</v>
      </c>
      <c r="Q792" s="1" t="s">
        <v>74</v>
      </c>
      <c r="R792" s="1" t="s">
        <v>74</v>
      </c>
      <c r="S792" s="1" t="s">
        <v>74</v>
      </c>
      <c r="T792" s="1" t="s">
        <v>74</v>
      </c>
      <c r="U792" s="1" t="s">
        <v>74</v>
      </c>
      <c r="V792" s="1" t="s">
        <v>7955</v>
      </c>
      <c r="W792" s="1" t="s">
        <v>74</v>
      </c>
      <c r="X792" s="1" t="s">
        <v>74</v>
      </c>
      <c r="Y792" s="1" t="s">
        <v>74</v>
      </c>
      <c r="Z792" s="1" t="s">
        <v>74</v>
      </c>
      <c r="AA792" s="1" t="s">
        <v>7956</v>
      </c>
      <c r="AB792" s="1" t="s">
        <v>7957</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7958</v>
      </c>
      <c r="AP792" s="1" t="s">
        <v>7959</v>
      </c>
      <c r="AQ792" s="1" t="s">
        <v>74</v>
      </c>
      <c r="AR792" s="1" t="s">
        <v>74</v>
      </c>
      <c r="AS792" s="1" t="s">
        <v>74</v>
      </c>
      <c r="AT792" s="1" t="s">
        <v>7960</v>
      </c>
      <c r="AU792" s="1">
        <v>2020.0</v>
      </c>
      <c r="AV792" s="1">
        <v>38.0</v>
      </c>
      <c r="AW792" s="1">
        <v>13.0</v>
      </c>
      <c r="AX792" s="1" t="s">
        <v>74</v>
      </c>
      <c r="AY792" s="1" t="s">
        <v>74</v>
      </c>
      <c r="AZ792" s="1" t="s">
        <v>74</v>
      </c>
      <c r="BA792" s="1" t="s">
        <v>74</v>
      </c>
      <c r="BB792" s="1">
        <v>1475.0</v>
      </c>
      <c r="BC792" s="1">
        <v>1487.0</v>
      </c>
      <c r="BD792" s="1" t="s">
        <v>74</v>
      </c>
      <c r="BE792" s="1" t="s">
        <v>7961</v>
      </c>
      <c r="BF792" s="2" t="str">
        <f>HYPERLINK("http://dx.doi.org/10.1080/02640414.2020.1745503","http://dx.doi.org/10.1080/02640414.2020.1745503")</f>
        <v>http://dx.doi.org/10.1080/02640414.2020.1745503</v>
      </c>
      <c r="BG792" s="1" t="s">
        <v>74</v>
      </c>
      <c r="BH792" s="1" t="s">
        <v>74</v>
      </c>
      <c r="BI792" s="1" t="s">
        <v>74</v>
      </c>
      <c r="BJ792" s="1" t="s">
        <v>74</v>
      </c>
      <c r="BK792" s="1" t="s">
        <v>74</v>
      </c>
      <c r="BL792" s="1" t="s">
        <v>74</v>
      </c>
      <c r="BM792" s="1" t="s">
        <v>74</v>
      </c>
      <c r="BN792" s="1">
        <v>3.2255389E7</v>
      </c>
      <c r="BO792" s="1" t="s">
        <v>74</v>
      </c>
      <c r="BP792" s="1" t="s">
        <v>74</v>
      </c>
      <c r="BQ792" s="1" t="s">
        <v>74</v>
      </c>
      <c r="BR792" s="1" t="s">
        <v>74</v>
      </c>
      <c r="BS792" s="1" t="s">
        <v>7962</v>
      </c>
      <c r="BT792" s="1" t="str">
        <f>HYPERLINK("https%3A%2F%2Fwww.webofscience.com%2Fwos%2Fwoscc%2Ffull-record%2FWOS:000556039700001","View Full Record in Web of Science")</f>
        <v>View Full Record in Web of Science</v>
      </c>
    </row>
    <row r="793" ht="12.75" customHeight="1">
      <c r="A793" s="1" t="s">
        <v>72</v>
      </c>
      <c r="B793" s="1" t="s">
        <v>7963</v>
      </c>
      <c r="C793" s="1" t="s">
        <v>74</v>
      </c>
      <c r="D793" s="1" t="s">
        <v>74</v>
      </c>
      <c r="E793" s="1" t="s">
        <v>74</v>
      </c>
      <c r="F793" s="1" t="s">
        <v>7964</v>
      </c>
      <c r="G793" s="1" t="s">
        <v>74</v>
      </c>
      <c r="H793" s="1" t="s">
        <v>74</v>
      </c>
      <c r="I793" s="1" t="s">
        <v>7965</v>
      </c>
      <c r="J793" s="1" t="s">
        <v>7966</v>
      </c>
      <c r="K793" s="1" t="s">
        <v>74</v>
      </c>
      <c r="L793" s="1" t="s">
        <v>74</v>
      </c>
      <c r="M793" s="1" t="s">
        <v>74</v>
      </c>
      <c r="N793" s="1" t="s">
        <v>74</v>
      </c>
      <c r="O793" s="1" t="s">
        <v>74</v>
      </c>
      <c r="P793" s="1" t="s">
        <v>74</v>
      </c>
      <c r="Q793" s="1" t="s">
        <v>74</v>
      </c>
      <c r="R793" s="1" t="s">
        <v>74</v>
      </c>
      <c r="S793" s="1" t="s">
        <v>74</v>
      </c>
      <c r="T793" s="1" t="s">
        <v>74</v>
      </c>
      <c r="U793" s="1" t="s">
        <v>74</v>
      </c>
      <c r="V793" s="1" t="s">
        <v>7967</v>
      </c>
      <c r="W793" s="1" t="s">
        <v>74</v>
      </c>
      <c r="X793" s="1" t="s">
        <v>74</v>
      </c>
      <c r="Y793" s="1" t="s">
        <v>74</v>
      </c>
      <c r="Z793" s="1" t="s">
        <v>74</v>
      </c>
      <c r="AA793" s="1" t="s">
        <v>7968</v>
      </c>
      <c r="AB793" s="1" t="s">
        <v>7969</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7970</v>
      </c>
      <c r="AP793" s="1" t="s">
        <v>74</v>
      </c>
      <c r="AQ793" s="1" t="s">
        <v>74</v>
      </c>
      <c r="AR793" s="1" t="s">
        <v>74</v>
      </c>
      <c r="AS793" s="1" t="s">
        <v>74</v>
      </c>
      <c r="AT793" s="1" t="s">
        <v>74</v>
      </c>
      <c r="AU793" s="1">
        <v>2007.0</v>
      </c>
      <c r="AV793" s="1">
        <v>144.0</v>
      </c>
      <c r="AW793" s="1">
        <v>1.0</v>
      </c>
      <c r="AX793" s="1" t="s">
        <v>74</v>
      </c>
      <c r="AY793" s="1" t="s">
        <v>74</v>
      </c>
      <c r="AZ793" s="1" t="s">
        <v>74</v>
      </c>
      <c r="BA793" s="1" t="s">
        <v>74</v>
      </c>
      <c r="BB793" s="1">
        <v>44.0</v>
      </c>
      <c r="BC793" s="1">
        <v>50.0</v>
      </c>
      <c r="BD793" s="1" t="s">
        <v>74</v>
      </c>
      <c r="BE793" s="1" t="s">
        <v>7971</v>
      </c>
      <c r="BF793" s="2" t="str">
        <f>HYPERLINK("http://dx.doi.org/10.1159/000102613","http://dx.doi.org/10.1159/000102613")</f>
        <v>http://dx.doi.org/10.1159/000102613</v>
      </c>
      <c r="BG793" s="1" t="s">
        <v>74</v>
      </c>
      <c r="BH793" s="1" t="s">
        <v>74</v>
      </c>
      <c r="BI793" s="1" t="s">
        <v>74</v>
      </c>
      <c r="BJ793" s="1" t="s">
        <v>74</v>
      </c>
      <c r="BK793" s="1" t="s">
        <v>74</v>
      </c>
      <c r="BL793" s="1" t="s">
        <v>74</v>
      </c>
      <c r="BM793" s="1" t="s">
        <v>74</v>
      </c>
      <c r="BN793" s="1">
        <v>1.7505136E7</v>
      </c>
      <c r="BO793" s="1" t="s">
        <v>74</v>
      </c>
      <c r="BP793" s="1" t="s">
        <v>74</v>
      </c>
      <c r="BQ793" s="1" t="s">
        <v>74</v>
      </c>
      <c r="BR793" s="1" t="s">
        <v>74</v>
      </c>
      <c r="BS793" s="1" t="s">
        <v>7972</v>
      </c>
      <c r="BT793" s="1" t="str">
        <f>HYPERLINK("https%3A%2F%2Fwww.webofscience.com%2Fwos%2Fwoscc%2Ffull-record%2FWOS:000248807700006","View Full Record in Web of Science")</f>
        <v>View Full Record in Web of Science</v>
      </c>
    </row>
    <row r="794" ht="12.75" customHeight="1">
      <c r="A794" s="1" t="s">
        <v>72</v>
      </c>
      <c r="B794" s="1" t="s">
        <v>7973</v>
      </c>
      <c r="C794" s="1" t="s">
        <v>74</v>
      </c>
      <c r="D794" s="1" t="s">
        <v>74</v>
      </c>
      <c r="E794" s="1" t="s">
        <v>74</v>
      </c>
      <c r="F794" s="1" t="s">
        <v>7974</v>
      </c>
      <c r="G794" s="1" t="s">
        <v>74</v>
      </c>
      <c r="H794" s="1" t="s">
        <v>74</v>
      </c>
      <c r="I794" s="1" t="s">
        <v>7975</v>
      </c>
      <c r="J794" s="1" t="s">
        <v>7468</v>
      </c>
      <c r="K794" s="1" t="s">
        <v>74</v>
      </c>
      <c r="L794" s="1" t="s">
        <v>74</v>
      </c>
      <c r="M794" s="1" t="s">
        <v>74</v>
      </c>
      <c r="N794" s="1" t="s">
        <v>74</v>
      </c>
      <c r="O794" s="1" t="s">
        <v>74</v>
      </c>
      <c r="P794" s="1" t="s">
        <v>74</v>
      </c>
      <c r="Q794" s="1" t="s">
        <v>74</v>
      </c>
      <c r="R794" s="1" t="s">
        <v>74</v>
      </c>
      <c r="S794" s="1" t="s">
        <v>74</v>
      </c>
      <c r="T794" s="1" t="s">
        <v>74</v>
      </c>
      <c r="U794" s="1" t="s">
        <v>74</v>
      </c>
      <c r="V794" s="1" t="s">
        <v>7976</v>
      </c>
      <c r="W794" s="1" t="s">
        <v>74</v>
      </c>
      <c r="X794" s="1" t="s">
        <v>74</v>
      </c>
      <c r="Y794" s="1" t="s">
        <v>74</v>
      </c>
      <c r="Z794" s="1" t="s">
        <v>74</v>
      </c>
      <c r="AA794" s="1" t="s">
        <v>7977</v>
      </c>
      <c r="AB794" s="1" t="s">
        <v>7978</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74</v>
      </c>
      <c r="AP794" s="1" t="s">
        <v>7472</v>
      </c>
      <c r="AQ794" s="1" t="s">
        <v>74</v>
      </c>
      <c r="AR794" s="1" t="s">
        <v>74</v>
      </c>
      <c r="AS794" s="1" t="s">
        <v>74</v>
      </c>
      <c r="AT794" s="1" t="s">
        <v>7979</v>
      </c>
      <c r="AU794" s="1">
        <v>2023.0</v>
      </c>
      <c r="AV794" s="1">
        <v>23.0</v>
      </c>
      <c r="AW794" s="1">
        <v>1.0</v>
      </c>
      <c r="AX794" s="1" t="s">
        <v>74</v>
      </c>
      <c r="AY794" s="1" t="s">
        <v>74</v>
      </c>
      <c r="AZ794" s="1" t="s">
        <v>74</v>
      </c>
      <c r="BA794" s="1" t="s">
        <v>74</v>
      </c>
      <c r="BB794" s="1" t="s">
        <v>74</v>
      </c>
      <c r="BC794" s="1" t="s">
        <v>74</v>
      </c>
      <c r="BD794" s="1">
        <v>1337.0</v>
      </c>
      <c r="BE794" s="1" t="s">
        <v>7980</v>
      </c>
      <c r="BF794" s="2" t="str">
        <f>HYPERLINK("http://dx.doi.org/10.1186/s12889-023-16255-w","http://dx.doi.org/10.1186/s12889-023-16255-w")</f>
        <v>http://dx.doi.org/10.1186/s12889-023-16255-w</v>
      </c>
      <c r="BG794" s="1" t="s">
        <v>74</v>
      </c>
      <c r="BH794" s="1" t="s">
        <v>74</v>
      </c>
      <c r="BI794" s="1" t="s">
        <v>74</v>
      </c>
      <c r="BJ794" s="1" t="s">
        <v>74</v>
      </c>
      <c r="BK794" s="1" t="s">
        <v>74</v>
      </c>
      <c r="BL794" s="1" t="s">
        <v>74</v>
      </c>
      <c r="BM794" s="1" t="s">
        <v>74</v>
      </c>
      <c r="BN794" s="1">
        <v>3.7438831E7</v>
      </c>
      <c r="BO794" s="1" t="s">
        <v>74</v>
      </c>
      <c r="BP794" s="1" t="s">
        <v>74</v>
      </c>
      <c r="BQ794" s="1" t="s">
        <v>74</v>
      </c>
      <c r="BR794" s="1" t="s">
        <v>74</v>
      </c>
      <c r="BS794" s="1" t="s">
        <v>7981</v>
      </c>
      <c r="BT794" s="1" t="str">
        <f>HYPERLINK("https%3A%2F%2Fwww.webofscience.com%2Fwos%2Fwoscc%2Ffull-record%2FWOS:001027113700007","View Full Record in Web of Science")</f>
        <v>View Full Record in Web of Science</v>
      </c>
    </row>
    <row r="795" ht="12.75" customHeight="1">
      <c r="A795" s="1" t="s">
        <v>72</v>
      </c>
      <c r="B795" s="1" t="s">
        <v>7982</v>
      </c>
      <c r="C795" s="1" t="s">
        <v>74</v>
      </c>
      <c r="D795" s="1" t="s">
        <v>74</v>
      </c>
      <c r="E795" s="1" t="s">
        <v>74</v>
      </c>
      <c r="F795" s="1" t="s">
        <v>7983</v>
      </c>
      <c r="G795" s="1" t="s">
        <v>74</v>
      </c>
      <c r="H795" s="1" t="s">
        <v>74</v>
      </c>
      <c r="I795" s="1" t="s">
        <v>7984</v>
      </c>
      <c r="J795" s="1" t="s">
        <v>2479</v>
      </c>
      <c r="K795" s="1" t="s">
        <v>74</v>
      </c>
      <c r="L795" s="1" t="s">
        <v>74</v>
      </c>
      <c r="M795" s="1" t="s">
        <v>74</v>
      </c>
      <c r="N795" s="1" t="s">
        <v>74</v>
      </c>
      <c r="O795" s="1" t="s">
        <v>74</v>
      </c>
      <c r="P795" s="1" t="s">
        <v>74</v>
      </c>
      <c r="Q795" s="1" t="s">
        <v>74</v>
      </c>
      <c r="R795" s="1" t="s">
        <v>74</v>
      </c>
      <c r="S795" s="1" t="s">
        <v>74</v>
      </c>
      <c r="T795" s="1" t="s">
        <v>74</v>
      </c>
      <c r="U795" s="1" t="s">
        <v>74</v>
      </c>
      <c r="V795" s="1" t="s">
        <v>7985</v>
      </c>
      <c r="W795" s="1" t="s">
        <v>74</v>
      </c>
      <c r="X795" s="1" t="s">
        <v>74</v>
      </c>
      <c r="Y795" s="1" t="s">
        <v>74</v>
      </c>
      <c r="Z795" s="1" t="s">
        <v>74</v>
      </c>
      <c r="AA795" s="1" t="s">
        <v>7986</v>
      </c>
      <c r="AB795" s="1" t="s">
        <v>7987</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74</v>
      </c>
      <c r="AP795" s="1" t="s">
        <v>2483</v>
      </c>
      <c r="AQ795" s="1" t="s">
        <v>74</v>
      </c>
      <c r="AR795" s="1" t="s">
        <v>74</v>
      </c>
      <c r="AS795" s="1" t="s">
        <v>74</v>
      </c>
      <c r="AT795" s="1" t="s">
        <v>7988</v>
      </c>
      <c r="AU795" s="1">
        <v>2022.0</v>
      </c>
      <c r="AV795" s="1">
        <v>13.0</v>
      </c>
      <c r="AW795" s="1" t="s">
        <v>74</v>
      </c>
      <c r="AX795" s="1" t="s">
        <v>74</v>
      </c>
      <c r="AY795" s="1" t="s">
        <v>74</v>
      </c>
      <c r="AZ795" s="1" t="s">
        <v>74</v>
      </c>
      <c r="BA795" s="1" t="s">
        <v>74</v>
      </c>
      <c r="BB795" s="1" t="s">
        <v>74</v>
      </c>
      <c r="BC795" s="1" t="s">
        <v>74</v>
      </c>
      <c r="BD795" s="1">
        <v>1003264.0</v>
      </c>
      <c r="BE795" s="1" t="s">
        <v>7989</v>
      </c>
      <c r="BF795" s="2" t="str">
        <f>HYPERLINK("http://dx.doi.org/10.3389/fphar.2022.1003264","http://dx.doi.org/10.3389/fphar.2022.1003264")</f>
        <v>http://dx.doi.org/10.3389/fphar.2022.1003264</v>
      </c>
      <c r="BG795" s="1" t="s">
        <v>74</v>
      </c>
      <c r="BH795" s="1" t="s">
        <v>74</v>
      </c>
      <c r="BI795" s="1" t="s">
        <v>74</v>
      </c>
      <c r="BJ795" s="1" t="s">
        <v>74</v>
      </c>
      <c r="BK795" s="1" t="s">
        <v>74</v>
      </c>
      <c r="BL795" s="1" t="s">
        <v>74</v>
      </c>
      <c r="BM795" s="1" t="s">
        <v>74</v>
      </c>
      <c r="BN795" s="1">
        <v>3.6160442E7</v>
      </c>
      <c r="BO795" s="1" t="s">
        <v>74</v>
      </c>
      <c r="BP795" s="1" t="s">
        <v>74</v>
      </c>
      <c r="BQ795" s="1" t="s">
        <v>74</v>
      </c>
      <c r="BR795" s="1" t="s">
        <v>74</v>
      </c>
      <c r="BS795" s="1" t="s">
        <v>7990</v>
      </c>
      <c r="BT795" s="1" t="str">
        <f>HYPERLINK("https%3A%2F%2Fwww.webofscience.com%2Fwos%2Fwoscc%2Ffull-record%2FWOS:000859220700001","View Full Record in Web of Science")</f>
        <v>View Full Record in Web of Science</v>
      </c>
    </row>
    <row r="796" ht="12.75" customHeight="1">
      <c r="A796" s="1" t="s">
        <v>72</v>
      </c>
      <c r="B796" s="1" t="s">
        <v>7991</v>
      </c>
      <c r="C796" s="1" t="s">
        <v>74</v>
      </c>
      <c r="D796" s="1" t="s">
        <v>74</v>
      </c>
      <c r="E796" s="1" t="s">
        <v>74</v>
      </c>
      <c r="F796" s="1" t="s">
        <v>7992</v>
      </c>
      <c r="G796" s="1" t="s">
        <v>74</v>
      </c>
      <c r="H796" s="1" t="s">
        <v>74</v>
      </c>
      <c r="I796" s="1" t="s">
        <v>7993</v>
      </c>
      <c r="J796" s="1" t="s">
        <v>3217</v>
      </c>
      <c r="K796" s="1" t="s">
        <v>74</v>
      </c>
      <c r="L796" s="1" t="s">
        <v>74</v>
      </c>
      <c r="M796" s="1" t="s">
        <v>74</v>
      </c>
      <c r="N796" s="1" t="s">
        <v>74</v>
      </c>
      <c r="O796" s="1" t="s">
        <v>74</v>
      </c>
      <c r="P796" s="1" t="s">
        <v>74</v>
      </c>
      <c r="Q796" s="1" t="s">
        <v>74</v>
      </c>
      <c r="R796" s="1" t="s">
        <v>74</v>
      </c>
      <c r="S796" s="1" t="s">
        <v>74</v>
      </c>
      <c r="T796" s="1" t="s">
        <v>74</v>
      </c>
      <c r="U796" s="1" t="s">
        <v>74</v>
      </c>
      <c r="V796" s="1" t="s">
        <v>7994</v>
      </c>
      <c r="W796" s="1" t="s">
        <v>74</v>
      </c>
      <c r="X796" s="1" t="s">
        <v>74</v>
      </c>
      <c r="Y796" s="1" t="s">
        <v>74</v>
      </c>
      <c r="Z796" s="1" t="s">
        <v>74</v>
      </c>
      <c r="AA796" s="1" t="s">
        <v>7995</v>
      </c>
      <c r="AB796" s="1" t="s">
        <v>7996</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74</v>
      </c>
      <c r="AP796" s="1" t="s">
        <v>3221</v>
      </c>
      <c r="AQ796" s="1" t="s">
        <v>74</v>
      </c>
      <c r="AR796" s="1" t="s">
        <v>74</v>
      </c>
      <c r="AS796" s="1" t="s">
        <v>74</v>
      </c>
      <c r="AT796" s="1" t="s">
        <v>94</v>
      </c>
      <c r="AU796" s="1">
        <v>2022.0</v>
      </c>
      <c r="AV796" s="1">
        <v>14.0</v>
      </c>
      <c r="AW796" s="1">
        <v>24.0</v>
      </c>
      <c r="AX796" s="1" t="s">
        <v>74</v>
      </c>
      <c r="AY796" s="1" t="s">
        <v>74</v>
      </c>
      <c r="AZ796" s="1" t="s">
        <v>74</v>
      </c>
      <c r="BA796" s="1" t="s">
        <v>74</v>
      </c>
      <c r="BB796" s="1" t="s">
        <v>74</v>
      </c>
      <c r="BC796" s="1" t="s">
        <v>74</v>
      </c>
      <c r="BD796" s="1">
        <v>16728.0</v>
      </c>
      <c r="BE796" s="1" t="s">
        <v>7997</v>
      </c>
      <c r="BF796" s="2" t="str">
        <f>HYPERLINK("http://dx.doi.org/10.3390/su142416728","http://dx.doi.org/10.3390/su142416728")</f>
        <v>http://dx.doi.org/10.3390/su142416728</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7998</v>
      </c>
      <c r="BT796" s="1" t="str">
        <f>HYPERLINK("https%3A%2F%2Fwww.webofscience.com%2Fwos%2Fwoscc%2Ffull-record%2FWOS:000902873100001","View Full Record in Web of Science")</f>
        <v>View Full Record in Web of Science</v>
      </c>
    </row>
    <row r="797" ht="12.75" customHeight="1">
      <c r="A797" s="1" t="s">
        <v>72</v>
      </c>
      <c r="B797" s="1" t="s">
        <v>7999</v>
      </c>
      <c r="C797" s="1" t="s">
        <v>74</v>
      </c>
      <c r="D797" s="1" t="s">
        <v>74</v>
      </c>
      <c r="E797" s="1" t="s">
        <v>74</v>
      </c>
      <c r="F797" s="1" t="s">
        <v>8000</v>
      </c>
      <c r="G797" s="1" t="s">
        <v>74</v>
      </c>
      <c r="H797" s="1" t="s">
        <v>74</v>
      </c>
      <c r="I797" s="1" t="s">
        <v>8001</v>
      </c>
      <c r="J797" s="1" t="s">
        <v>7635</v>
      </c>
      <c r="K797" s="1" t="s">
        <v>74</v>
      </c>
      <c r="L797" s="1" t="s">
        <v>74</v>
      </c>
      <c r="M797" s="1" t="s">
        <v>74</v>
      </c>
      <c r="N797" s="1" t="s">
        <v>74</v>
      </c>
      <c r="O797" s="1" t="s">
        <v>74</v>
      </c>
      <c r="P797" s="1" t="s">
        <v>74</v>
      </c>
      <c r="Q797" s="1" t="s">
        <v>74</v>
      </c>
      <c r="R797" s="1" t="s">
        <v>74</v>
      </c>
      <c r="S797" s="1" t="s">
        <v>74</v>
      </c>
      <c r="T797" s="1" t="s">
        <v>74</v>
      </c>
      <c r="U797" s="1" t="s">
        <v>74</v>
      </c>
      <c r="V797" s="1" t="s">
        <v>8002</v>
      </c>
      <c r="W797" s="1" t="s">
        <v>74</v>
      </c>
      <c r="X797" s="1" t="s">
        <v>74</v>
      </c>
      <c r="Y797" s="1" t="s">
        <v>74</v>
      </c>
      <c r="Z797" s="1" t="s">
        <v>74</v>
      </c>
      <c r="AA797" s="1" t="s">
        <v>8003</v>
      </c>
      <c r="AB797" s="1" t="s">
        <v>8004</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7639</v>
      </c>
      <c r="AP797" s="1" t="s">
        <v>7640</v>
      </c>
      <c r="AQ797" s="1" t="s">
        <v>74</v>
      </c>
      <c r="AR797" s="1" t="s">
        <v>74</v>
      </c>
      <c r="AS797" s="1" t="s">
        <v>74</v>
      </c>
      <c r="AT797" s="1" t="s">
        <v>334</v>
      </c>
      <c r="AU797" s="1">
        <v>2024.0</v>
      </c>
      <c r="AV797" s="1">
        <v>338.0</v>
      </c>
      <c r="AW797" s="1" t="s">
        <v>74</v>
      </c>
      <c r="AX797" s="1" t="s">
        <v>74</v>
      </c>
      <c r="AY797" s="1" t="s">
        <v>74</v>
      </c>
      <c r="AZ797" s="1" t="s">
        <v>74</v>
      </c>
      <c r="BA797" s="1" t="s">
        <v>74</v>
      </c>
      <c r="BB797" s="1" t="s">
        <v>74</v>
      </c>
      <c r="BC797" s="1" t="s">
        <v>74</v>
      </c>
      <c r="BD797" s="1">
        <v>124832.0</v>
      </c>
      <c r="BE797" s="1" t="s">
        <v>8005</v>
      </c>
      <c r="BF797" s="2" t="str">
        <f>HYPERLINK("http://dx.doi.org/10.1016/j.jssc.2024.124832","http://dx.doi.org/10.1016/j.jssc.2024.124832")</f>
        <v>http://dx.doi.org/10.1016/j.jssc.2024.124832</v>
      </c>
      <c r="BG797" s="1" t="s">
        <v>74</v>
      </c>
      <c r="BH797" s="1" t="s">
        <v>702</v>
      </c>
      <c r="BI797" s="1" t="s">
        <v>74</v>
      </c>
      <c r="BJ797" s="1" t="s">
        <v>74</v>
      </c>
      <c r="BK797" s="1" t="s">
        <v>74</v>
      </c>
      <c r="BL797" s="1" t="s">
        <v>74</v>
      </c>
      <c r="BM797" s="1" t="s">
        <v>74</v>
      </c>
      <c r="BN797" s="1" t="s">
        <v>74</v>
      </c>
      <c r="BO797" s="1" t="s">
        <v>74</v>
      </c>
      <c r="BP797" s="1" t="s">
        <v>74</v>
      </c>
      <c r="BQ797" s="1" t="s">
        <v>74</v>
      </c>
      <c r="BR797" s="1" t="s">
        <v>74</v>
      </c>
      <c r="BS797" s="1" t="s">
        <v>8006</v>
      </c>
      <c r="BT797" s="1" t="str">
        <f>HYPERLINK("https%3A%2F%2Fwww.webofscience.com%2Fwos%2Fwoscc%2Ffull-record%2FWOS:001362867800001","View Full Record in Web of Science")</f>
        <v>View Full Record in Web of Science</v>
      </c>
    </row>
    <row r="798" ht="12.75" customHeight="1">
      <c r="A798" s="1" t="s">
        <v>72</v>
      </c>
      <c r="B798" s="1" t="s">
        <v>8007</v>
      </c>
      <c r="C798" s="1" t="s">
        <v>74</v>
      </c>
      <c r="D798" s="1" t="s">
        <v>74</v>
      </c>
      <c r="E798" s="1" t="s">
        <v>74</v>
      </c>
      <c r="F798" s="1" t="s">
        <v>8008</v>
      </c>
      <c r="G798" s="1" t="s">
        <v>74</v>
      </c>
      <c r="H798" s="1" t="s">
        <v>74</v>
      </c>
      <c r="I798" s="1" t="s">
        <v>8009</v>
      </c>
      <c r="J798" s="1" t="s">
        <v>1121</v>
      </c>
      <c r="K798" s="1" t="s">
        <v>74</v>
      </c>
      <c r="L798" s="1" t="s">
        <v>74</v>
      </c>
      <c r="M798" s="1" t="s">
        <v>74</v>
      </c>
      <c r="N798" s="1" t="s">
        <v>74</v>
      </c>
      <c r="O798" s="1" t="s">
        <v>74</v>
      </c>
      <c r="P798" s="1" t="s">
        <v>74</v>
      </c>
      <c r="Q798" s="1" t="s">
        <v>74</v>
      </c>
      <c r="R798" s="1" t="s">
        <v>74</v>
      </c>
      <c r="S798" s="1" t="s">
        <v>74</v>
      </c>
      <c r="T798" s="1" t="s">
        <v>74</v>
      </c>
      <c r="U798" s="1" t="s">
        <v>74</v>
      </c>
      <c r="V798" s="1" t="s">
        <v>8010</v>
      </c>
      <c r="W798" s="1" t="s">
        <v>74</v>
      </c>
      <c r="X798" s="1" t="s">
        <v>74</v>
      </c>
      <c r="Y798" s="1" t="s">
        <v>74</v>
      </c>
      <c r="Z798" s="1" t="s">
        <v>74</v>
      </c>
      <c r="AA798" s="1" t="s">
        <v>8011</v>
      </c>
      <c r="AB798" s="1" t="s">
        <v>8012</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74</v>
      </c>
      <c r="AP798" s="1" t="s">
        <v>1125</v>
      </c>
      <c r="AQ798" s="1" t="s">
        <v>74</v>
      </c>
      <c r="AR798" s="1" t="s">
        <v>74</v>
      </c>
      <c r="AS798" s="1" t="s">
        <v>74</v>
      </c>
      <c r="AT798" s="1" t="s">
        <v>1126</v>
      </c>
      <c r="AU798" s="1">
        <v>2021.0</v>
      </c>
      <c r="AV798" s="1">
        <v>12.0</v>
      </c>
      <c r="AW798" s="1" t="s">
        <v>74</v>
      </c>
      <c r="AX798" s="1" t="s">
        <v>74</v>
      </c>
      <c r="AY798" s="1" t="s">
        <v>74</v>
      </c>
      <c r="AZ798" s="1" t="s">
        <v>74</v>
      </c>
      <c r="BA798" s="1" t="s">
        <v>74</v>
      </c>
      <c r="BB798" s="1" t="s">
        <v>74</v>
      </c>
      <c r="BC798" s="1" t="s">
        <v>74</v>
      </c>
      <c r="BD798" s="1">
        <v>769085.0</v>
      </c>
      <c r="BE798" s="1" t="s">
        <v>8013</v>
      </c>
      <c r="BF798" s="2" t="str">
        <f>HYPERLINK("http://dx.doi.org/10.3389/fphys.2021.769085","http://dx.doi.org/10.3389/fphys.2021.769085")</f>
        <v>http://dx.doi.org/10.3389/fphys.2021.769085</v>
      </c>
      <c r="BG798" s="1" t="s">
        <v>74</v>
      </c>
      <c r="BH798" s="1" t="s">
        <v>74</v>
      </c>
      <c r="BI798" s="1" t="s">
        <v>74</v>
      </c>
      <c r="BJ798" s="1" t="s">
        <v>74</v>
      </c>
      <c r="BK798" s="1" t="s">
        <v>74</v>
      </c>
      <c r="BL798" s="1" t="s">
        <v>74</v>
      </c>
      <c r="BM798" s="1" t="s">
        <v>74</v>
      </c>
      <c r="BN798" s="1">
        <v>3.4867474E7</v>
      </c>
      <c r="BO798" s="1" t="s">
        <v>74</v>
      </c>
      <c r="BP798" s="1" t="s">
        <v>74</v>
      </c>
      <c r="BQ798" s="1" t="s">
        <v>74</v>
      </c>
      <c r="BR798" s="1" t="s">
        <v>74</v>
      </c>
      <c r="BS798" s="1" t="s">
        <v>8014</v>
      </c>
      <c r="BT798" s="1" t="str">
        <f>HYPERLINK("https%3A%2F%2Fwww.webofscience.com%2Fwos%2Fwoscc%2Ffull-record%2FWOS:000881403700001","View Full Record in Web of Science")</f>
        <v>View Full Record in Web of Science</v>
      </c>
    </row>
    <row r="799" ht="12.75" customHeight="1">
      <c r="A799" s="1" t="s">
        <v>72</v>
      </c>
      <c r="B799" s="1" t="s">
        <v>8015</v>
      </c>
      <c r="C799" s="1" t="s">
        <v>74</v>
      </c>
      <c r="D799" s="1" t="s">
        <v>74</v>
      </c>
      <c r="E799" s="1" t="s">
        <v>74</v>
      </c>
      <c r="F799" s="1" t="s">
        <v>8016</v>
      </c>
      <c r="G799" s="1" t="s">
        <v>74</v>
      </c>
      <c r="H799" s="1" t="s">
        <v>8017</v>
      </c>
      <c r="I799" s="1" t="s">
        <v>8018</v>
      </c>
      <c r="J799" s="1" t="s">
        <v>8019</v>
      </c>
      <c r="K799" s="1" t="s">
        <v>74</v>
      </c>
      <c r="L799" s="1" t="s">
        <v>74</v>
      </c>
      <c r="M799" s="1" t="s">
        <v>74</v>
      </c>
      <c r="N799" s="1" t="s">
        <v>74</v>
      </c>
      <c r="O799" s="1" t="s">
        <v>74</v>
      </c>
      <c r="P799" s="1" t="s">
        <v>74</v>
      </c>
      <c r="Q799" s="1" t="s">
        <v>74</v>
      </c>
      <c r="R799" s="1" t="s">
        <v>74</v>
      </c>
      <c r="S799" s="1" t="s">
        <v>74</v>
      </c>
      <c r="T799" s="1" t="s">
        <v>74</v>
      </c>
      <c r="U799" s="1" t="s">
        <v>74</v>
      </c>
      <c r="V799" s="1" t="s">
        <v>8020</v>
      </c>
      <c r="W799" s="1" t="s">
        <v>74</v>
      </c>
      <c r="X799" s="1" t="s">
        <v>74</v>
      </c>
      <c r="Y799" s="1" t="s">
        <v>74</v>
      </c>
      <c r="Z799" s="1" t="s">
        <v>74</v>
      </c>
      <c r="AA799" s="1" t="s">
        <v>8021</v>
      </c>
      <c r="AB799" s="1" t="s">
        <v>8022</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74</v>
      </c>
      <c r="AP799" s="1" t="s">
        <v>8023</v>
      </c>
      <c r="AQ799" s="1" t="s">
        <v>74</v>
      </c>
      <c r="AR799" s="1" t="s">
        <v>74</v>
      </c>
      <c r="AS799" s="1" t="s">
        <v>74</v>
      </c>
      <c r="AT799" s="1" t="s">
        <v>4647</v>
      </c>
      <c r="AU799" s="1">
        <v>2020.0</v>
      </c>
      <c r="AV799" s="1">
        <v>17.0</v>
      </c>
      <c r="AW799" s="1">
        <v>1.0</v>
      </c>
      <c r="AX799" s="1" t="s">
        <v>74</v>
      </c>
      <c r="AY799" s="1" t="s">
        <v>74</v>
      </c>
      <c r="AZ799" s="1" t="s">
        <v>74</v>
      </c>
      <c r="BA799" s="1" t="s">
        <v>74</v>
      </c>
      <c r="BB799" s="1" t="s">
        <v>74</v>
      </c>
      <c r="BC799" s="1" t="s">
        <v>74</v>
      </c>
      <c r="BD799" s="1">
        <v>163.0</v>
      </c>
      <c r="BE799" s="1" t="s">
        <v>8024</v>
      </c>
      <c r="BF799" s="2" t="str">
        <f>HYPERLINK("http://dx.doi.org/10.1186/s12966-020-01068-6","http://dx.doi.org/10.1186/s12966-020-01068-6")</f>
        <v>http://dx.doi.org/10.1186/s12966-020-01068-6</v>
      </c>
      <c r="BG799" s="1" t="s">
        <v>74</v>
      </c>
      <c r="BH799" s="1" t="s">
        <v>74</v>
      </c>
      <c r="BI799" s="1" t="s">
        <v>74</v>
      </c>
      <c r="BJ799" s="1" t="s">
        <v>74</v>
      </c>
      <c r="BK799" s="1" t="s">
        <v>74</v>
      </c>
      <c r="BL799" s="1" t="s">
        <v>74</v>
      </c>
      <c r="BM799" s="1" t="s">
        <v>74</v>
      </c>
      <c r="BN799" s="1">
        <v>3.3317548E7</v>
      </c>
      <c r="BO799" s="1" t="s">
        <v>74</v>
      </c>
      <c r="BP799" s="1" t="s">
        <v>74</v>
      </c>
      <c r="BQ799" s="1" t="s">
        <v>74</v>
      </c>
      <c r="BR799" s="1" t="s">
        <v>74</v>
      </c>
      <c r="BS799" s="1" t="s">
        <v>8025</v>
      </c>
      <c r="BT799" s="1" t="str">
        <f>HYPERLINK("https%3A%2F%2Fwww.webofscience.com%2Fwos%2Fwoscc%2Ffull-record%2FWOS:000598758500001","View Full Record in Web of Science")</f>
        <v>View Full Record in Web of Science</v>
      </c>
    </row>
    <row r="800" ht="12.75" customHeight="1">
      <c r="A800" s="1" t="s">
        <v>72</v>
      </c>
      <c r="B800" s="1" t="s">
        <v>8026</v>
      </c>
      <c r="C800" s="1" t="s">
        <v>74</v>
      </c>
      <c r="D800" s="1" t="s">
        <v>74</v>
      </c>
      <c r="E800" s="1" t="s">
        <v>74</v>
      </c>
      <c r="F800" s="1" t="s">
        <v>8027</v>
      </c>
      <c r="G800" s="1" t="s">
        <v>74</v>
      </c>
      <c r="H800" s="1" t="s">
        <v>74</v>
      </c>
      <c r="I800" s="1" t="s">
        <v>8028</v>
      </c>
      <c r="J800" s="1" t="s">
        <v>1193</v>
      </c>
      <c r="K800" s="1" t="s">
        <v>74</v>
      </c>
      <c r="L800" s="1" t="s">
        <v>74</v>
      </c>
      <c r="M800" s="1" t="s">
        <v>74</v>
      </c>
      <c r="N800" s="1" t="s">
        <v>74</v>
      </c>
      <c r="O800" s="1" t="s">
        <v>74</v>
      </c>
      <c r="P800" s="1" t="s">
        <v>74</v>
      </c>
      <c r="Q800" s="1" t="s">
        <v>74</v>
      </c>
      <c r="R800" s="1" t="s">
        <v>74</v>
      </c>
      <c r="S800" s="1" t="s">
        <v>74</v>
      </c>
      <c r="T800" s="1" t="s">
        <v>74</v>
      </c>
      <c r="U800" s="1" t="s">
        <v>74</v>
      </c>
      <c r="V800" s="1" t="s">
        <v>8029</v>
      </c>
      <c r="W800" s="1" t="s">
        <v>74</v>
      </c>
      <c r="X800" s="1" t="s">
        <v>74</v>
      </c>
      <c r="Y800" s="1" t="s">
        <v>74</v>
      </c>
      <c r="Z800" s="1" t="s">
        <v>74</v>
      </c>
      <c r="AA800" s="1" t="s">
        <v>8030</v>
      </c>
      <c r="AB800" s="1" t="s">
        <v>8031</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1197</v>
      </c>
      <c r="AP800" s="1" t="s">
        <v>74</v>
      </c>
      <c r="AQ800" s="1" t="s">
        <v>74</v>
      </c>
      <c r="AR800" s="1" t="s">
        <v>74</v>
      </c>
      <c r="AS800" s="1" t="s">
        <v>74</v>
      </c>
      <c r="AT800" s="1" t="s">
        <v>8032</v>
      </c>
      <c r="AU800" s="1">
        <v>2019.0</v>
      </c>
      <c r="AV800" s="1">
        <v>10.0</v>
      </c>
      <c r="AW800" s="1" t="s">
        <v>74</v>
      </c>
      <c r="AX800" s="1" t="s">
        <v>74</v>
      </c>
      <c r="AY800" s="1" t="s">
        <v>74</v>
      </c>
      <c r="AZ800" s="1" t="s">
        <v>74</v>
      </c>
      <c r="BA800" s="1" t="s">
        <v>74</v>
      </c>
      <c r="BB800" s="1" t="s">
        <v>74</v>
      </c>
      <c r="BC800" s="1" t="s">
        <v>74</v>
      </c>
      <c r="BD800" s="1">
        <v>423.0</v>
      </c>
      <c r="BE800" s="1" t="s">
        <v>8033</v>
      </c>
      <c r="BF800" s="2" t="str">
        <f>HYPERLINK("http://dx.doi.org/10.1038/s41419-019-1649-3","http://dx.doi.org/10.1038/s41419-019-1649-3")</f>
        <v>http://dx.doi.org/10.1038/s41419-019-1649-3</v>
      </c>
      <c r="BG800" s="1" t="s">
        <v>74</v>
      </c>
      <c r="BH800" s="1" t="s">
        <v>74</v>
      </c>
      <c r="BI800" s="1" t="s">
        <v>74</v>
      </c>
      <c r="BJ800" s="1" t="s">
        <v>74</v>
      </c>
      <c r="BK800" s="1" t="s">
        <v>74</v>
      </c>
      <c r="BL800" s="1" t="s">
        <v>74</v>
      </c>
      <c r="BM800" s="1" t="s">
        <v>74</v>
      </c>
      <c r="BN800" s="1">
        <v>3.1142736E7</v>
      </c>
      <c r="BO800" s="1" t="s">
        <v>74</v>
      </c>
      <c r="BP800" s="1" t="s">
        <v>74</v>
      </c>
      <c r="BQ800" s="1" t="s">
        <v>74</v>
      </c>
      <c r="BR800" s="1" t="s">
        <v>74</v>
      </c>
      <c r="BS800" s="1" t="s">
        <v>8034</v>
      </c>
      <c r="BT800" s="1" t="str">
        <f>HYPERLINK("https%3A%2F%2Fwww.webofscience.com%2Fwos%2Fwoscc%2Ffull-record%2FWOS:000470936100005","View Full Record in Web of Science")</f>
        <v>View Full Record in Web of Science</v>
      </c>
    </row>
    <row r="801" ht="12.75" customHeight="1">
      <c r="A801" s="1" t="s">
        <v>72</v>
      </c>
      <c r="B801" s="1" t="s">
        <v>8035</v>
      </c>
      <c r="C801" s="1" t="s">
        <v>74</v>
      </c>
      <c r="D801" s="1" t="s">
        <v>74</v>
      </c>
      <c r="E801" s="1" t="s">
        <v>74</v>
      </c>
      <c r="F801" s="1" t="s">
        <v>8036</v>
      </c>
      <c r="G801" s="1" t="s">
        <v>74</v>
      </c>
      <c r="H801" s="1" t="s">
        <v>74</v>
      </c>
      <c r="I801" s="1" t="s">
        <v>8037</v>
      </c>
      <c r="J801" s="1" t="s">
        <v>3102</v>
      </c>
      <c r="K801" s="1" t="s">
        <v>74</v>
      </c>
      <c r="L801" s="1" t="s">
        <v>74</v>
      </c>
      <c r="M801" s="1" t="s">
        <v>74</v>
      </c>
      <c r="N801" s="1" t="s">
        <v>74</v>
      </c>
      <c r="O801" s="1" t="s">
        <v>74</v>
      </c>
      <c r="P801" s="1" t="s">
        <v>74</v>
      </c>
      <c r="Q801" s="1" t="s">
        <v>74</v>
      </c>
      <c r="R801" s="1" t="s">
        <v>74</v>
      </c>
      <c r="S801" s="1" t="s">
        <v>74</v>
      </c>
      <c r="T801" s="1" t="s">
        <v>74</v>
      </c>
      <c r="U801" s="1" t="s">
        <v>74</v>
      </c>
      <c r="V801" s="1" t="s">
        <v>8038</v>
      </c>
      <c r="W801" s="1" t="s">
        <v>74</v>
      </c>
      <c r="X801" s="1" t="s">
        <v>74</v>
      </c>
      <c r="Y801" s="1" t="s">
        <v>74</v>
      </c>
      <c r="Z801" s="1" t="s">
        <v>74</v>
      </c>
      <c r="AA801" s="1" t="s">
        <v>8039</v>
      </c>
      <c r="AB801" s="1" t="s">
        <v>528</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74</v>
      </c>
      <c r="AP801" s="1" t="s">
        <v>3106</v>
      </c>
      <c r="AQ801" s="1" t="s">
        <v>74</v>
      </c>
      <c r="AR801" s="1" t="s">
        <v>74</v>
      </c>
      <c r="AS801" s="1" t="s">
        <v>74</v>
      </c>
      <c r="AT801" s="1" t="s">
        <v>2041</v>
      </c>
      <c r="AU801" s="1">
        <v>2025.0</v>
      </c>
      <c r="AV801" s="1">
        <v>15.0</v>
      </c>
      <c r="AW801" s="1">
        <v>7.0</v>
      </c>
      <c r="AX801" s="1" t="s">
        <v>74</v>
      </c>
      <c r="AY801" s="1" t="s">
        <v>74</v>
      </c>
      <c r="AZ801" s="1" t="s">
        <v>74</v>
      </c>
      <c r="BA801" s="1" t="s">
        <v>74</v>
      </c>
      <c r="BB801" s="1" t="s">
        <v>74</v>
      </c>
      <c r="BC801" s="1" t="s">
        <v>74</v>
      </c>
      <c r="BD801" s="1">
        <v>3554.0</v>
      </c>
      <c r="BE801" s="1" t="s">
        <v>8040</v>
      </c>
      <c r="BF801" s="2" t="str">
        <f>HYPERLINK("http://dx.doi.org/10.3390/app15073554","http://dx.doi.org/10.3390/app15073554")</f>
        <v>http://dx.doi.org/10.3390/app15073554</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8041</v>
      </c>
      <c r="BT801" s="1" t="str">
        <f>HYPERLINK("https%3A%2F%2Fwww.webofscience.com%2Fwos%2Fwoscc%2Ffull-record%2FWOS:001463717200001","View Full Record in Web of Science")</f>
        <v>View Full Record in Web of Science</v>
      </c>
    </row>
    <row r="802" ht="12.75" customHeight="1">
      <c r="A802" s="1" t="s">
        <v>72</v>
      </c>
      <c r="B802" s="1" t="s">
        <v>8042</v>
      </c>
      <c r="C802" s="1" t="s">
        <v>74</v>
      </c>
      <c r="D802" s="1" t="s">
        <v>74</v>
      </c>
      <c r="E802" s="1" t="s">
        <v>74</v>
      </c>
      <c r="F802" s="1" t="s">
        <v>8043</v>
      </c>
      <c r="G802" s="1" t="s">
        <v>74</v>
      </c>
      <c r="H802" s="1" t="s">
        <v>74</v>
      </c>
      <c r="I802" s="1" t="s">
        <v>8044</v>
      </c>
      <c r="J802" s="1" t="s">
        <v>1226</v>
      </c>
      <c r="K802" s="1" t="s">
        <v>74</v>
      </c>
      <c r="L802" s="1" t="s">
        <v>74</v>
      </c>
      <c r="M802" s="1" t="s">
        <v>74</v>
      </c>
      <c r="N802" s="1" t="s">
        <v>74</v>
      </c>
      <c r="O802" s="1" t="s">
        <v>74</v>
      </c>
      <c r="P802" s="1" t="s">
        <v>74</v>
      </c>
      <c r="Q802" s="1" t="s">
        <v>74</v>
      </c>
      <c r="R802" s="1" t="s">
        <v>74</v>
      </c>
      <c r="S802" s="1" t="s">
        <v>74</v>
      </c>
      <c r="T802" s="1" t="s">
        <v>74</v>
      </c>
      <c r="U802" s="1" t="s">
        <v>74</v>
      </c>
      <c r="V802" s="1" t="s">
        <v>8045</v>
      </c>
      <c r="W802" s="1" t="s">
        <v>74</v>
      </c>
      <c r="X802" s="1" t="s">
        <v>74</v>
      </c>
      <c r="Y802" s="1" t="s">
        <v>74</v>
      </c>
      <c r="Z802" s="1" t="s">
        <v>74</v>
      </c>
      <c r="AA802" s="1" t="s">
        <v>8046</v>
      </c>
      <c r="AB802" s="1" t="s">
        <v>8047</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1228</v>
      </c>
      <c r="AP802" s="1" t="s">
        <v>1229</v>
      </c>
      <c r="AQ802" s="1" t="s">
        <v>74</v>
      </c>
      <c r="AR802" s="1" t="s">
        <v>74</v>
      </c>
      <c r="AS802" s="1" t="s">
        <v>74</v>
      </c>
      <c r="AT802" s="1" t="s">
        <v>5359</v>
      </c>
      <c r="AU802" s="1">
        <v>2024.0</v>
      </c>
      <c r="AV802" s="1">
        <v>683.0</v>
      </c>
      <c r="AW802" s="1" t="s">
        <v>74</v>
      </c>
      <c r="AX802" s="1" t="s">
        <v>74</v>
      </c>
      <c r="AY802" s="1" t="s">
        <v>74</v>
      </c>
      <c r="AZ802" s="1" t="s">
        <v>74</v>
      </c>
      <c r="BA802" s="1" t="s">
        <v>74</v>
      </c>
      <c r="BB802" s="1" t="s">
        <v>74</v>
      </c>
      <c r="BC802" s="1" t="s">
        <v>74</v>
      </c>
      <c r="BD802" s="1" t="s">
        <v>8048</v>
      </c>
      <c r="BE802" s="1" t="s">
        <v>8049</v>
      </c>
      <c r="BF802" s="2" t="str">
        <f>HYPERLINK("http://dx.doi.org/10.1051/0004-6361/202347915","http://dx.doi.org/10.1051/0004-6361/202347915")</f>
        <v>http://dx.doi.org/10.1051/0004-6361/202347915</v>
      </c>
      <c r="BG802" s="1" t="s">
        <v>74</v>
      </c>
      <c r="BH802" s="1" t="s">
        <v>74</v>
      </c>
      <c r="BI802" s="1" t="s">
        <v>74</v>
      </c>
      <c r="BJ802" s="1" t="s">
        <v>74</v>
      </c>
      <c r="BK802" s="1" t="s">
        <v>74</v>
      </c>
      <c r="BL802" s="1" t="s">
        <v>74</v>
      </c>
      <c r="BM802" s="1" t="s">
        <v>74</v>
      </c>
      <c r="BN802" s="1" t="s">
        <v>74</v>
      </c>
      <c r="BO802" s="1" t="s">
        <v>74</v>
      </c>
      <c r="BP802" s="1" t="s">
        <v>74</v>
      </c>
      <c r="BQ802" s="1" t="s">
        <v>74</v>
      </c>
      <c r="BR802" s="1" t="s">
        <v>74</v>
      </c>
      <c r="BS802" s="1" t="s">
        <v>8050</v>
      </c>
      <c r="BT802" s="1" t="str">
        <f>HYPERLINK("https%3A%2F%2Fwww.webofscience.com%2Fwos%2Fwoscc%2Ffull-record%2FWOS:001185810900021","View Full Record in Web of Science")</f>
        <v>View Full Record in Web of Science</v>
      </c>
    </row>
    <row r="803" ht="12.75" customHeight="1">
      <c r="A803" s="1" t="s">
        <v>72</v>
      </c>
      <c r="B803" s="1" t="s">
        <v>8051</v>
      </c>
      <c r="C803" s="1" t="s">
        <v>74</v>
      </c>
      <c r="D803" s="1" t="s">
        <v>74</v>
      </c>
      <c r="E803" s="1" t="s">
        <v>74</v>
      </c>
      <c r="F803" s="1" t="s">
        <v>8052</v>
      </c>
      <c r="G803" s="1" t="s">
        <v>74</v>
      </c>
      <c r="H803" s="1" t="s">
        <v>74</v>
      </c>
      <c r="I803" s="1" t="s">
        <v>8053</v>
      </c>
      <c r="J803" s="1" t="s">
        <v>480</v>
      </c>
      <c r="K803" s="1" t="s">
        <v>74</v>
      </c>
      <c r="L803" s="1" t="s">
        <v>74</v>
      </c>
      <c r="M803" s="1" t="s">
        <v>74</v>
      </c>
      <c r="N803" s="1" t="s">
        <v>74</v>
      </c>
      <c r="O803" s="1" t="s">
        <v>74</v>
      </c>
      <c r="P803" s="1" t="s">
        <v>74</v>
      </c>
      <c r="Q803" s="1" t="s">
        <v>74</v>
      </c>
      <c r="R803" s="1" t="s">
        <v>74</v>
      </c>
      <c r="S803" s="1" t="s">
        <v>74</v>
      </c>
      <c r="T803" s="1" t="s">
        <v>74</v>
      </c>
      <c r="U803" s="1" t="s">
        <v>74</v>
      </c>
      <c r="V803" s="1" t="s">
        <v>8054</v>
      </c>
      <c r="W803" s="1" t="s">
        <v>74</v>
      </c>
      <c r="X803" s="1" t="s">
        <v>74</v>
      </c>
      <c r="Y803" s="1" t="s">
        <v>74</v>
      </c>
      <c r="Z803" s="1" t="s">
        <v>74</v>
      </c>
      <c r="AA803" s="1" t="s">
        <v>8055</v>
      </c>
      <c r="AB803" s="1" t="s">
        <v>8056</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484</v>
      </c>
      <c r="AP803" s="1" t="s">
        <v>74</v>
      </c>
      <c r="AQ803" s="1" t="s">
        <v>74</v>
      </c>
      <c r="AR803" s="1" t="s">
        <v>74</v>
      </c>
      <c r="AS803" s="1" t="s">
        <v>74</v>
      </c>
      <c r="AT803" s="1" t="s">
        <v>5188</v>
      </c>
      <c r="AU803" s="1">
        <v>2020.0</v>
      </c>
      <c r="AV803" s="1">
        <v>10.0</v>
      </c>
      <c r="AW803" s="1">
        <v>1.0</v>
      </c>
      <c r="AX803" s="1" t="s">
        <v>74</v>
      </c>
      <c r="AY803" s="1" t="s">
        <v>74</v>
      </c>
      <c r="AZ803" s="1" t="s">
        <v>74</v>
      </c>
      <c r="BA803" s="1" t="s">
        <v>74</v>
      </c>
      <c r="BB803" s="1" t="s">
        <v>74</v>
      </c>
      <c r="BC803" s="1" t="s">
        <v>74</v>
      </c>
      <c r="BD803" s="1">
        <v>10621.0</v>
      </c>
      <c r="BE803" s="1" t="s">
        <v>8057</v>
      </c>
      <c r="BF803" s="2" t="str">
        <f>HYPERLINK("http://dx.doi.org/10.1038/s41598-020-67551-z","http://dx.doi.org/10.1038/s41598-020-67551-z")</f>
        <v>http://dx.doi.org/10.1038/s41598-020-67551-z</v>
      </c>
      <c r="BG803" s="1" t="s">
        <v>74</v>
      </c>
      <c r="BH803" s="1" t="s">
        <v>74</v>
      </c>
      <c r="BI803" s="1" t="s">
        <v>74</v>
      </c>
      <c r="BJ803" s="1" t="s">
        <v>74</v>
      </c>
      <c r="BK803" s="1" t="s">
        <v>74</v>
      </c>
      <c r="BL803" s="1" t="s">
        <v>74</v>
      </c>
      <c r="BM803" s="1" t="s">
        <v>74</v>
      </c>
      <c r="BN803" s="1">
        <v>3.2606382E7</v>
      </c>
      <c r="BO803" s="1" t="s">
        <v>74</v>
      </c>
      <c r="BP803" s="1" t="s">
        <v>74</v>
      </c>
      <c r="BQ803" s="1" t="s">
        <v>74</v>
      </c>
      <c r="BR803" s="1" t="s">
        <v>74</v>
      </c>
      <c r="BS803" s="1" t="s">
        <v>8058</v>
      </c>
      <c r="BT803" s="1" t="str">
        <f>HYPERLINK("https%3A%2F%2Fwww.webofscience.com%2Fwos%2Fwoscc%2Ffull-record%2FWOS:000548353500021","View Full Record in Web of Science")</f>
        <v>View Full Record in Web of Science</v>
      </c>
    </row>
    <row r="804" ht="12.75" customHeight="1">
      <c r="A804" s="1" t="s">
        <v>72</v>
      </c>
      <c r="B804" s="1" t="s">
        <v>8059</v>
      </c>
      <c r="C804" s="1" t="s">
        <v>74</v>
      </c>
      <c r="D804" s="1" t="s">
        <v>74</v>
      </c>
      <c r="E804" s="1" t="s">
        <v>74</v>
      </c>
      <c r="F804" s="1" t="s">
        <v>8060</v>
      </c>
      <c r="G804" s="1" t="s">
        <v>74</v>
      </c>
      <c r="H804" s="1" t="s">
        <v>74</v>
      </c>
      <c r="I804" s="1" t="s">
        <v>8061</v>
      </c>
      <c r="J804" s="1" t="s">
        <v>771</v>
      </c>
      <c r="K804" s="1" t="s">
        <v>74</v>
      </c>
      <c r="L804" s="1" t="s">
        <v>74</v>
      </c>
      <c r="M804" s="1" t="s">
        <v>74</v>
      </c>
      <c r="N804" s="1" t="s">
        <v>74</v>
      </c>
      <c r="O804" s="1" t="s">
        <v>74</v>
      </c>
      <c r="P804" s="1" t="s">
        <v>74</v>
      </c>
      <c r="Q804" s="1" t="s">
        <v>74</v>
      </c>
      <c r="R804" s="1" t="s">
        <v>74</v>
      </c>
      <c r="S804" s="1" t="s">
        <v>74</v>
      </c>
      <c r="T804" s="1" t="s">
        <v>74</v>
      </c>
      <c r="U804" s="1" t="s">
        <v>74</v>
      </c>
      <c r="V804" s="1" t="s">
        <v>8062</v>
      </c>
      <c r="W804" s="1" t="s">
        <v>74</v>
      </c>
      <c r="X804" s="1" t="s">
        <v>74</v>
      </c>
      <c r="Y804" s="1" t="s">
        <v>74</v>
      </c>
      <c r="Z804" s="1" t="s">
        <v>74</v>
      </c>
      <c r="AA804" s="1" t="s">
        <v>8063</v>
      </c>
      <c r="AB804" s="1" t="s">
        <v>8064</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74</v>
      </c>
      <c r="AP804" s="1" t="s">
        <v>775</v>
      </c>
      <c r="AQ804" s="1" t="s">
        <v>74</v>
      </c>
      <c r="AR804" s="1" t="s">
        <v>74</v>
      </c>
      <c r="AS804" s="1" t="s">
        <v>74</v>
      </c>
      <c r="AT804" s="1" t="s">
        <v>264</v>
      </c>
      <c r="AU804" s="1">
        <v>2025.0</v>
      </c>
      <c r="AV804" s="1">
        <v>13.0</v>
      </c>
      <c r="AW804" s="1">
        <v>1.0</v>
      </c>
      <c r="AX804" s="1" t="s">
        <v>74</v>
      </c>
      <c r="AY804" s="1" t="s">
        <v>74</v>
      </c>
      <c r="AZ804" s="1" t="s">
        <v>74</v>
      </c>
      <c r="BA804" s="1" t="s">
        <v>74</v>
      </c>
      <c r="BB804" s="1" t="s">
        <v>74</v>
      </c>
      <c r="BC804" s="1" t="s">
        <v>74</v>
      </c>
      <c r="BD804" s="1">
        <v>26.0</v>
      </c>
      <c r="BE804" s="1" t="s">
        <v>8065</v>
      </c>
      <c r="BF804" s="2" t="str">
        <f>HYPERLINK("http://dx.doi.org/10.3390/sports13010026","http://dx.doi.org/10.3390/sports13010026")</f>
        <v>http://dx.doi.org/10.3390/sports13010026</v>
      </c>
      <c r="BG804" s="1" t="s">
        <v>74</v>
      </c>
      <c r="BH804" s="1" t="s">
        <v>74</v>
      </c>
      <c r="BI804" s="1" t="s">
        <v>74</v>
      </c>
      <c r="BJ804" s="1" t="s">
        <v>74</v>
      </c>
      <c r="BK804" s="1" t="s">
        <v>74</v>
      </c>
      <c r="BL804" s="1" t="s">
        <v>74</v>
      </c>
      <c r="BM804" s="1" t="s">
        <v>74</v>
      </c>
      <c r="BN804" s="1">
        <v>3.9852622E7</v>
      </c>
      <c r="BO804" s="1" t="s">
        <v>74</v>
      </c>
      <c r="BP804" s="1" t="s">
        <v>74</v>
      </c>
      <c r="BQ804" s="1" t="s">
        <v>74</v>
      </c>
      <c r="BR804" s="1" t="s">
        <v>74</v>
      </c>
      <c r="BS804" s="1" t="s">
        <v>8066</v>
      </c>
      <c r="BT804" s="1" t="str">
        <f>HYPERLINK("https%3A%2F%2Fwww.webofscience.com%2Fwos%2Fwoscc%2Ffull-record%2FWOS:001406267100001","View Full Record in Web of Science")</f>
        <v>View Full Record in Web of Science</v>
      </c>
    </row>
    <row r="805" ht="12.75" customHeight="1">
      <c r="A805" s="1" t="s">
        <v>72</v>
      </c>
      <c r="B805" s="1" t="s">
        <v>8067</v>
      </c>
      <c r="C805" s="1" t="s">
        <v>74</v>
      </c>
      <c r="D805" s="1" t="s">
        <v>74</v>
      </c>
      <c r="E805" s="1" t="s">
        <v>74</v>
      </c>
      <c r="F805" s="1" t="s">
        <v>8068</v>
      </c>
      <c r="G805" s="1" t="s">
        <v>74</v>
      </c>
      <c r="H805" s="1" t="s">
        <v>74</v>
      </c>
      <c r="I805" s="1" t="s">
        <v>8069</v>
      </c>
      <c r="J805" s="1" t="s">
        <v>8070</v>
      </c>
      <c r="K805" s="1" t="s">
        <v>74</v>
      </c>
      <c r="L805" s="1" t="s">
        <v>74</v>
      </c>
      <c r="M805" s="1" t="s">
        <v>74</v>
      </c>
      <c r="N805" s="1" t="s">
        <v>74</v>
      </c>
      <c r="O805" s="1" t="s">
        <v>74</v>
      </c>
      <c r="P805" s="1" t="s">
        <v>74</v>
      </c>
      <c r="Q805" s="1" t="s">
        <v>74</v>
      </c>
      <c r="R805" s="1" t="s">
        <v>74</v>
      </c>
      <c r="S805" s="1" t="s">
        <v>74</v>
      </c>
      <c r="T805" s="1" t="s">
        <v>74</v>
      </c>
      <c r="U805" s="1" t="s">
        <v>74</v>
      </c>
      <c r="V805" s="1" t="s">
        <v>8071</v>
      </c>
      <c r="W805" s="1" t="s">
        <v>74</v>
      </c>
      <c r="X805" s="1" t="s">
        <v>74</v>
      </c>
      <c r="Y805" s="1" t="s">
        <v>74</v>
      </c>
      <c r="Z805" s="1" t="s">
        <v>74</v>
      </c>
      <c r="AA805" s="1" t="s">
        <v>8072</v>
      </c>
      <c r="AB805" s="1" t="s">
        <v>8073</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8074</v>
      </c>
      <c r="AP805" s="1" t="s">
        <v>74</v>
      </c>
      <c r="AQ805" s="1" t="s">
        <v>74</v>
      </c>
      <c r="AR805" s="1" t="s">
        <v>74</v>
      </c>
      <c r="AS805" s="1" t="s">
        <v>74</v>
      </c>
      <c r="AT805" s="1" t="s">
        <v>141</v>
      </c>
      <c r="AU805" s="1">
        <v>2024.0</v>
      </c>
      <c r="AV805" s="1">
        <v>20.0</v>
      </c>
      <c r="AW805" s="1">
        <v>9.0</v>
      </c>
      <c r="AX805" s="1" t="s">
        <v>74</v>
      </c>
      <c r="AY805" s="1" t="s">
        <v>74</v>
      </c>
      <c r="AZ805" s="1" t="s">
        <v>74</v>
      </c>
      <c r="BA805" s="1" t="s">
        <v>74</v>
      </c>
      <c r="BB805" s="1" t="s">
        <v>74</v>
      </c>
      <c r="BC805" s="1" t="s">
        <v>74</v>
      </c>
      <c r="BD805" s="1" t="s">
        <v>8075</v>
      </c>
      <c r="BE805" s="1" t="s">
        <v>8076</v>
      </c>
      <c r="BF805" s="2" t="str">
        <f>HYPERLINK("http://dx.doi.org/10.1371/journal.pgen.1011396","http://dx.doi.org/10.1371/journal.pgen.1011396")</f>
        <v>http://dx.doi.org/10.1371/journal.pgen.1011396</v>
      </c>
      <c r="BG805" s="1" t="s">
        <v>74</v>
      </c>
      <c r="BH805" s="1" t="s">
        <v>74</v>
      </c>
      <c r="BI805" s="1" t="s">
        <v>74</v>
      </c>
      <c r="BJ805" s="1" t="s">
        <v>74</v>
      </c>
      <c r="BK805" s="1" t="s">
        <v>74</v>
      </c>
      <c r="BL805" s="1" t="s">
        <v>74</v>
      </c>
      <c r="BM805" s="1" t="s">
        <v>74</v>
      </c>
      <c r="BN805" s="1">
        <v>3.9241096E7</v>
      </c>
      <c r="BO805" s="1" t="s">
        <v>74</v>
      </c>
      <c r="BP805" s="1" t="s">
        <v>74</v>
      </c>
      <c r="BQ805" s="1" t="s">
        <v>74</v>
      </c>
      <c r="BR805" s="1" t="s">
        <v>74</v>
      </c>
      <c r="BS805" s="1" t="s">
        <v>8077</v>
      </c>
      <c r="BT805" s="1" t="str">
        <f>HYPERLINK("https%3A%2F%2Fwww.webofscience.com%2Fwos%2Fwoscc%2Ffull-record%2FWOS:001308388700003","View Full Record in Web of Science")</f>
        <v>View Full Record in Web of Science</v>
      </c>
    </row>
    <row r="806" ht="12.75" customHeight="1">
      <c r="A806" s="1" t="s">
        <v>72</v>
      </c>
      <c r="B806" s="1" t="s">
        <v>7643</v>
      </c>
      <c r="C806" s="1" t="s">
        <v>74</v>
      </c>
      <c r="D806" s="1" t="s">
        <v>74</v>
      </c>
      <c r="E806" s="1" t="s">
        <v>74</v>
      </c>
      <c r="F806" s="1" t="s">
        <v>7644</v>
      </c>
      <c r="G806" s="1" t="s">
        <v>74</v>
      </c>
      <c r="H806" s="1" t="s">
        <v>74</v>
      </c>
      <c r="I806" s="1" t="s">
        <v>8078</v>
      </c>
      <c r="J806" s="1" t="s">
        <v>8079</v>
      </c>
      <c r="K806" s="1" t="s">
        <v>74</v>
      </c>
      <c r="L806" s="1" t="s">
        <v>74</v>
      </c>
      <c r="M806" s="1" t="s">
        <v>74</v>
      </c>
      <c r="N806" s="1" t="s">
        <v>74</v>
      </c>
      <c r="O806" s="1" t="s">
        <v>74</v>
      </c>
      <c r="P806" s="1" t="s">
        <v>74</v>
      </c>
      <c r="Q806" s="1" t="s">
        <v>74</v>
      </c>
      <c r="R806" s="1" t="s">
        <v>74</v>
      </c>
      <c r="S806" s="1" t="s">
        <v>74</v>
      </c>
      <c r="T806" s="1" t="s">
        <v>74</v>
      </c>
      <c r="U806" s="1" t="s">
        <v>74</v>
      </c>
      <c r="V806" s="1" t="s">
        <v>8080</v>
      </c>
      <c r="W806" s="1" t="s">
        <v>74</v>
      </c>
      <c r="X806" s="1" t="s">
        <v>74</v>
      </c>
      <c r="Y806" s="1" t="s">
        <v>74</v>
      </c>
      <c r="Z806" s="1" t="s">
        <v>74</v>
      </c>
      <c r="AA806" s="1" t="s">
        <v>8081</v>
      </c>
      <c r="AB806" s="1" t="s">
        <v>8082</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8083</v>
      </c>
      <c r="AP806" s="1" t="s">
        <v>8084</v>
      </c>
      <c r="AQ806" s="1" t="s">
        <v>74</v>
      </c>
      <c r="AR806" s="1" t="s">
        <v>74</v>
      </c>
      <c r="AS806" s="1" t="s">
        <v>74</v>
      </c>
      <c r="AT806" s="1" t="s">
        <v>239</v>
      </c>
      <c r="AU806" s="1">
        <v>2023.0</v>
      </c>
      <c r="AV806" s="1">
        <v>298.0</v>
      </c>
      <c r="AW806" s="1">
        <v>5.0</v>
      </c>
      <c r="AX806" s="1" t="s">
        <v>74</v>
      </c>
      <c r="AY806" s="1" t="s">
        <v>74</v>
      </c>
      <c r="AZ806" s="1" t="s">
        <v>74</v>
      </c>
      <c r="BA806" s="1" t="s">
        <v>74</v>
      </c>
      <c r="BB806" s="1" t="s">
        <v>74</v>
      </c>
      <c r="BC806" s="1" t="s">
        <v>74</v>
      </c>
      <c r="BD806" s="1">
        <v>72.0</v>
      </c>
      <c r="BE806" s="1" t="s">
        <v>8085</v>
      </c>
      <c r="BF806" s="2" t="str">
        <f>HYPERLINK("http://dx.doi.org/10.1007/s11207-023-02159-w","http://dx.doi.org/10.1007/s11207-023-02159-w")</f>
        <v>http://dx.doi.org/10.1007/s11207-023-02159-w</v>
      </c>
      <c r="BG806" s="1" t="s">
        <v>74</v>
      </c>
      <c r="BH806" s="1" t="s">
        <v>74</v>
      </c>
      <c r="BI806" s="1" t="s">
        <v>74</v>
      </c>
      <c r="BJ806" s="1" t="s">
        <v>74</v>
      </c>
      <c r="BK806" s="1" t="s">
        <v>74</v>
      </c>
      <c r="BL806" s="1" t="s">
        <v>74</v>
      </c>
      <c r="BM806" s="1" t="s">
        <v>74</v>
      </c>
      <c r="BN806" s="1" t="s">
        <v>74</v>
      </c>
      <c r="BO806" s="1" t="s">
        <v>74</v>
      </c>
      <c r="BP806" s="1" t="s">
        <v>74</v>
      </c>
      <c r="BQ806" s="1" t="s">
        <v>74</v>
      </c>
      <c r="BR806" s="1" t="s">
        <v>74</v>
      </c>
      <c r="BS806" s="1" t="s">
        <v>8086</v>
      </c>
      <c r="BT806" s="1" t="str">
        <f>HYPERLINK("https%3A%2F%2Fwww.webofscience.com%2Fwos%2Fwoscc%2Ffull-record%2FWOS:000998904000003","View Full Record in Web of Science")</f>
        <v>View Full Record in Web of Science</v>
      </c>
    </row>
    <row r="807" ht="12.75" customHeight="1">
      <c r="A807" s="1" t="s">
        <v>72</v>
      </c>
      <c r="B807" s="1" t="s">
        <v>8087</v>
      </c>
      <c r="C807" s="1" t="s">
        <v>74</v>
      </c>
      <c r="D807" s="1" t="s">
        <v>74</v>
      </c>
      <c r="E807" s="1" t="s">
        <v>74</v>
      </c>
      <c r="F807" s="1" t="s">
        <v>8088</v>
      </c>
      <c r="G807" s="1" t="s">
        <v>74</v>
      </c>
      <c r="H807" s="1" t="s">
        <v>74</v>
      </c>
      <c r="I807" s="1" t="s">
        <v>8089</v>
      </c>
      <c r="J807" s="1" t="s">
        <v>8090</v>
      </c>
      <c r="K807" s="1" t="s">
        <v>74</v>
      </c>
      <c r="L807" s="1" t="s">
        <v>74</v>
      </c>
      <c r="M807" s="1" t="s">
        <v>74</v>
      </c>
      <c r="N807" s="1" t="s">
        <v>74</v>
      </c>
      <c r="O807" s="1" t="s">
        <v>74</v>
      </c>
      <c r="P807" s="1" t="s">
        <v>74</v>
      </c>
      <c r="Q807" s="1" t="s">
        <v>74</v>
      </c>
      <c r="R807" s="1" t="s">
        <v>74</v>
      </c>
      <c r="S807" s="1" t="s">
        <v>74</v>
      </c>
      <c r="T807" s="1" t="s">
        <v>74</v>
      </c>
      <c r="U807" s="1" t="s">
        <v>74</v>
      </c>
      <c r="V807" s="1" t="s">
        <v>8091</v>
      </c>
      <c r="W807" s="1" t="s">
        <v>74</v>
      </c>
      <c r="X807" s="1" t="s">
        <v>74</v>
      </c>
      <c r="Y807" s="1" t="s">
        <v>74</v>
      </c>
      <c r="Z807" s="1" t="s">
        <v>74</v>
      </c>
      <c r="AA807" s="1" t="s">
        <v>8092</v>
      </c>
      <c r="AB807" s="1" t="s">
        <v>8093</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8094</v>
      </c>
      <c r="AP807" s="1" t="s">
        <v>8095</v>
      </c>
      <c r="AQ807" s="1" t="s">
        <v>74</v>
      </c>
      <c r="AR807" s="1" t="s">
        <v>74</v>
      </c>
      <c r="AS807" s="1" t="s">
        <v>74</v>
      </c>
      <c r="AT807" s="1" t="s">
        <v>3699</v>
      </c>
      <c r="AU807" s="1">
        <v>2021.0</v>
      </c>
      <c r="AV807" s="1">
        <v>2021.0</v>
      </c>
      <c r="AW807" s="1" t="s">
        <v>74</v>
      </c>
      <c r="AX807" s="1" t="s">
        <v>74</v>
      </c>
      <c r="AY807" s="1" t="s">
        <v>74</v>
      </c>
      <c r="AZ807" s="1" t="s">
        <v>74</v>
      </c>
      <c r="BA807" s="1" t="s">
        <v>74</v>
      </c>
      <c r="BB807" s="1" t="s">
        <v>74</v>
      </c>
      <c r="BC807" s="1" t="s">
        <v>74</v>
      </c>
      <c r="BD807" s="1">
        <v>4925433.0</v>
      </c>
      <c r="BE807" s="1" t="s">
        <v>8096</v>
      </c>
      <c r="BF807" s="2" t="str">
        <f>HYPERLINK("http://dx.doi.org/10.1155/2021/4925433","http://dx.doi.org/10.1155/2021/4925433")</f>
        <v>http://dx.doi.org/10.1155/2021/4925433</v>
      </c>
      <c r="BG807" s="1" t="s">
        <v>74</v>
      </c>
      <c r="BH807" s="1" t="s">
        <v>74</v>
      </c>
      <c r="BI807" s="1" t="s">
        <v>74</v>
      </c>
      <c r="BJ807" s="1" t="s">
        <v>74</v>
      </c>
      <c r="BK807" s="1" t="s">
        <v>74</v>
      </c>
      <c r="BL807" s="1" t="s">
        <v>74</v>
      </c>
      <c r="BM807" s="1" t="s">
        <v>74</v>
      </c>
      <c r="BN807" s="1" t="s">
        <v>74</v>
      </c>
      <c r="BO807" s="1" t="s">
        <v>74</v>
      </c>
      <c r="BP807" s="1" t="s">
        <v>74</v>
      </c>
      <c r="BQ807" s="1" t="s">
        <v>74</v>
      </c>
      <c r="BR807" s="1" t="s">
        <v>74</v>
      </c>
      <c r="BS807" s="1" t="s">
        <v>8097</v>
      </c>
      <c r="BT807" s="1" t="str">
        <f>HYPERLINK("https%3A%2F%2Fwww.webofscience.com%2Fwos%2Fwoscc%2Ffull-record%2FWOS:000716664900001","View Full Record in Web of Science")</f>
        <v>View Full Record in Web of Science</v>
      </c>
    </row>
    <row r="808" ht="12.75" customHeight="1">
      <c r="A808" s="1" t="s">
        <v>72</v>
      </c>
      <c r="B808" s="1" t="s">
        <v>8098</v>
      </c>
      <c r="C808" s="1" t="s">
        <v>74</v>
      </c>
      <c r="D808" s="1" t="s">
        <v>74</v>
      </c>
      <c r="E808" s="1" t="s">
        <v>74</v>
      </c>
      <c r="F808" s="1" t="s">
        <v>8099</v>
      </c>
      <c r="G808" s="1" t="s">
        <v>74</v>
      </c>
      <c r="H808" s="1" t="s">
        <v>74</v>
      </c>
      <c r="I808" s="1" t="s">
        <v>8100</v>
      </c>
      <c r="J808" s="1" t="s">
        <v>259</v>
      </c>
      <c r="K808" s="1" t="s">
        <v>74</v>
      </c>
      <c r="L808" s="1" t="s">
        <v>74</v>
      </c>
      <c r="M808" s="1" t="s">
        <v>74</v>
      </c>
      <c r="N808" s="1" t="s">
        <v>74</v>
      </c>
      <c r="O808" s="1" t="s">
        <v>74</v>
      </c>
      <c r="P808" s="1" t="s">
        <v>74</v>
      </c>
      <c r="Q808" s="1" t="s">
        <v>74</v>
      </c>
      <c r="R808" s="1" t="s">
        <v>74</v>
      </c>
      <c r="S808" s="1" t="s">
        <v>74</v>
      </c>
      <c r="T808" s="1" t="s">
        <v>74</v>
      </c>
      <c r="U808" s="1" t="s">
        <v>74</v>
      </c>
      <c r="V808" s="1" t="s">
        <v>8101</v>
      </c>
      <c r="W808" s="1" t="s">
        <v>74</v>
      </c>
      <c r="X808" s="1" t="s">
        <v>74</v>
      </c>
      <c r="Y808" s="1" t="s">
        <v>74</v>
      </c>
      <c r="Z808" s="1" t="s">
        <v>74</v>
      </c>
      <c r="AA808" s="1" t="s">
        <v>8102</v>
      </c>
      <c r="AB808" s="1" t="s">
        <v>8103</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74</v>
      </c>
      <c r="AP808" s="1" t="s">
        <v>263</v>
      </c>
      <c r="AQ808" s="1" t="s">
        <v>74</v>
      </c>
      <c r="AR808" s="1" t="s">
        <v>74</v>
      </c>
      <c r="AS808" s="1" t="s">
        <v>74</v>
      </c>
      <c r="AT808" s="1" t="s">
        <v>745</v>
      </c>
      <c r="AU808" s="1">
        <v>2018.0</v>
      </c>
      <c r="AV808" s="1">
        <v>10.0</v>
      </c>
      <c r="AW808" s="1">
        <v>7.0</v>
      </c>
      <c r="AX808" s="1" t="s">
        <v>74</v>
      </c>
      <c r="AY808" s="1" t="s">
        <v>74</v>
      </c>
      <c r="AZ808" s="1" t="s">
        <v>74</v>
      </c>
      <c r="BA808" s="1" t="s">
        <v>74</v>
      </c>
      <c r="BB808" s="1" t="s">
        <v>74</v>
      </c>
      <c r="BC808" s="1" t="s">
        <v>74</v>
      </c>
      <c r="BD808" s="1">
        <v>815.0</v>
      </c>
      <c r="BE808" s="1" t="s">
        <v>8104</v>
      </c>
      <c r="BF808" s="2" t="str">
        <f>HYPERLINK("http://dx.doi.org/10.3390/nu10070815","http://dx.doi.org/10.3390/nu10070815")</f>
        <v>http://dx.doi.org/10.3390/nu10070815</v>
      </c>
      <c r="BG808" s="1" t="s">
        <v>74</v>
      </c>
      <c r="BH808" s="1" t="s">
        <v>74</v>
      </c>
      <c r="BI808" s="1" t="s">
        <v>74</v>
      </c>
      <c r="BJ808" s="1" t="s">
        <v>74</v>
      </c>
      <c r="BK808" s="1" t="s">
        <v>74</v>
      </c>
      <c r="BL808" s="1" t="s">
        <v>74</v>
      </c>
      <c r="BM808" s="1" t="s">
        <v>74</v>
      </c>
      <c r="BN808" s="1">
        <v>2.9941782E7</v>
      </c>
      <c r="BO808" s="1" t="s">
        <v>74</v>
      </c>
      <c r="BP808" s="1" t="s">
        <v>74</v>
      </c>
      <c r="BQ808" s="1" t="s">
        <v>74</v>
      </c>
      <c r="BR808" s="1" t="s">
        <v>74</v>
      </c>
      <c r="BS808" s="1" t="s">
        <v>8105</v>
      </c>
      <c r="BT808" s="1" t="str">
        <f>HYPERLINK("https%3A%2F%2Fwww.webofscience.com%2Fwos%2Fwoscc%2Ffull-record%2FWOS:000447544900018","View Full Record in Web of Science")</f>
        <v>View Full Record in Web of Science</v>
      </c>
    </row>
    <row r="809" ht="12.75" customHeight="1">
      <c r="A809" s="1" t="s">
        <v>72</v>
      </c>
      <c r="B809" s="1" t="s">
        <v>8106</v>
      </c>
      <c r="C809" s="1" t="s">
        <v>74</v>
      </c>
      <c r="D809" s="1" t="s">
        <v>74</v>
      </c>
      <c r="E809" s="1" t="s">
        <v>74</v>
      </c>
      <c r="F809" s="1" t="s">
        <v>8107</v>
      </c>
      <c r="G809" s="1" t="s">
        <v>74</v>
      </c>
      <c r="H809" s="1" t="s">
        <v>74</v>
      </c>
      <c r="I809" s="1" t="s">
        <v>8108</v>
      </c>
      <c r="J809" s="1" t="s">
        <v>1412</v>
      </c>
      <c r="K809" s="1" t="s">
        <v>74</v>
      </c>
      <c r="L809" s="1" t="s">
        <v>74</v>
      </c>
      <c r="M809" s="1" t="s">
        <v>74</v>
      </c>
      <c r="N809" s="1" t="s">
        <v>74</v>
      </c>
      <c r="O809" s="1" t="s">
        <v>74</v>
      </c>
      <c r="P809" s="1" t="s">
        <v>74</v>
      </c>
      <c r="Q809" s="1" t="s">
        <v>74</v>
      </c>
      <c r="R809" s="1" t="s">
        <v>74</v>
      </c>
      <c r="S809" s="1" t="s">
        <v>74</v>
      </c>
      <c r="T809" s="1" t="s">
        <v>74</v>
      </c>
      <c r="U809" s="1" t="s">
        <v>74</v>
      </c>
      <c r="V809" s="1" t="s">
        <v>8109</v>
      </c>
      <c r="W809" s="1" t="s">
        <v>74</v>
      </c>
      <c r="X809" s="1" t="s">
        <v>74</v>
      </c>
      <c r="Y809" s="1" t="s">
        <v>74</v>
      </c>
      <c r="Z809" s="1" t="s">
        <v>74</v>
      </c>
      <c r="AA809" s="1" t="s">
        <v>8110</v>
      </c>
      <c r="AB809" s="1" t="s">
        <v>8111</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74</v>
      </c>
      <c r="AP809" s="1" t="s">
        <v>1417</v>
      </c>
      <c r="AQ809" s="1" t="s">
        <v>74</v>
      </c>
      <c r="AR809" s="1" t="s">
        <v>74</v>
      </c>
      <c r="AS809" s="1" t="s">
        <v>74</v>
      </c>
      <c r="AT809" s="1" t="s">
        <v>392</v>
      </c>
      <c r="AU809" s="1">
        <v>2025.0</v>
      </c>
      <c r="AV809" s="1">
        <v>74.0</v>
      </c>
      <c r="AW809" s="1">
        <v>2.0</v>
      </c>
      <c r="AX809" s="1" t="s">
        <v>74</v>
      </c>
      <c r="AY809" s="1" t="s">
        <v>74</v>
      </c>
      <c r="AZ809" s="1" t="s">
        <v>74</v>
      </c>
      <c r="BA809" s="1" t="s">
        <v>74</v>
      </c>
      <c r="BB809" s="1" t="s">
        <v>74</v>
      </c>
      <c r="BC809" s="1" t="s">
        <v>74</v>
      </c>
      <c r="BD809" s="1" t="s">
        <v>8112</v>
      </c>
      <c r="BE809" s="1" t="s">
        <v>8113</v>
      </c>
      <c r="BF809" s="2" t="str">
        <f>HYPERLINK("http://dx.doi.org/10.1111/apps.70004","http://dx.doi.org/10.1111/apps.70004")</f>
        <v>http://dx.doi.org/10.1111/apps.70004</v>
      </c>
      <c r="BG809" s="1" t="s">
        <v>74</v>
      </c>
      <c r="BH809" s="1" t="s">
        <v>74</v>
      </c>
      <c r="BI809" s="1" t="s">
        <v>74</v>
      </c>
      <c r="BJ809" s="1" t="s">
        <v>74</v>
      </c>
      <c r="BK809" s="1" t="s">
        <v>74</v>
      </c>
      <c r="BL809" s="1" t="s">
        <v>74</v>
      </c>
      <c r="BM809" s="1" t="s">
        <v>74</v>
      </c>
      <c r="BN809" s="1" t="s">
        <v>74</v>
      </c>
      <c r="BO809" s="1" t="s">
        <v>74</v>
      </c>
      <c r="BP809" s="1" t="s">
        <v>74</v>
      </c>
      <c r="BQ809" s="1" t="s">
        <v>74</v>
      </c>
      <c r="BR809" s="1" t="s">
        <v>74</v>
      </c>
      <c r="BS809" s="1" t="s">
        <v>8114</v>
      </c>
      <c r="BT809" s="1" t="str">
        <f>HYPERLINK("https%3A%2F%2Fwww.webofscience.com%2Fwos%2Fwoscc%2Ffull-record%2FWOS:001445176400001","View Full Record in Web of Science")</f>
        <v>View Full Record in Web of Science</v>
      </c>
    </row>
    <row r="810" ht="12.75" customHeight="1">
      <c r="A810" s="1" t="s">
        <v>72</v>
      </c>
      <c r="B810" s="1" t="s">
        <v>8115</v>
      </c>
      <c r="C810" s="1" t="s">
        <v>74</v>
      </c>
      <c r="D810" s="1" t="s">
        <v>74</v>
      </c>
      <c r="E810" s="1" t="s">
        <v>74</v>
      </c>
      <c r="F810" s="1" t="s">
        <v>8116</v>
      </c>
      <c r="G810" s="1" t="s">
        <v>74</v>
      </c>
      <c r="H810" s="1" t="s">
        <v>74</v>
      </c>
      <c r="I810" s="1" t="s">
        <v>8117</v>
      </c>
      <c r="J810" s="1" t="s">
        <v>1739</v>
      </c>
      <c r="K810" s="1" t="s">
        <v>74</v>
      </c>
      <c r="L810" s="1" t="s">
        <v>74</v>
      </c>
      <c r="M810" s="1" t="s">
        <v>74</v>
      </c>
      <c r="N810" s="1" t="s">
        <v>74</v>
      </c>
      <c r="O810" s="1" t="s">
        <v>74</v>
      </c>
      <c r="P810" s="1" t="s">
        <v>74</v>
      </c>
      <c r="Q810" s="1" t="s">
        <v>74</v>
      </c>
      <c r="R810" s="1" t="s">
        <v>74</v>
      </c>
      <c r="S810" s="1" t="s">
        <v>74</v>
      </c>
      <c r="T810" s="1" t="s">
        <v>74</v>
      </c>
      <c r="U810" s="1" t="s">
        <v>74</v>
      </c>
      <c r="V810" s="1" t="s">
        <v>8118</v>
      </c>
      <c r="W810" s="1" t="s">
        <v>74</v>
      </c>
      <c r="X810" s="1" t="s">
        <v>74</v>
      </c>
      <c r="Y810" s="1" t="s">
        <v>74</v>
      </c>
      <c r="Z810" s="1" t="s">
        <v>74</v>
      </c>
      <c r="AA810" s="1" t="s">
        <v>8119</v>
      </c>
      <c r="AB810" s="1" t="s">
        <v>8120</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1743</v>
      </c>
      <c r="AP810" s="1" t="s">
        <v>1744</v>
      </c>
      <c r="AQ810" s="1" t="s">
        <v>74</v>
      </c>
      <c r="AR810" s="1" t="s">
        <v>74</v>
      </c>
      <c r="AS810" s="1" t="s">
        <v>74</v>
      </c>
      <c r="AT810" s="1" t="s">
        <v>214</v>
      </c>
      <c r="AU810" s="1">
        <v>2022.0</v>
      </c>
      <c r="AV810" s="1">
        <v>156.0</v>
      </c>
      <c r="AW810" s="1" t="s">
        <v>74</v>
      </c>
      <c r="AX810" s="1" t="s">
        <v>74</v>
      </c>
      <c r="AY810" s="1" t="s">
        <v>74</v>
      </c>
      <c r="AZ810" s="1" t="s">
        <v>74</v>
      </c>
      <c r="BA810" s="1" t="s">
        <v>74</v>
      </c>
      <c r="BB810" s="1" t="s">
        <v>74</v>
      </c>
      <c r="BC810" s="1" t="s">
        <v>74</v>
      </c>
      <c r="BD810" s="1">
        <v>105831.0</v>
      </c>
      <c r="BE810" s="1" t="s">
        <v>8121</v>
      </c>
      <c r="BF810" s="2" t="str">
        <f>HYPERLINK("http://dx.doi.org/10.1016/j.bandc.2021.105831","http://dx.doi.org/10.1016/j.bandc.2021.105831")</f>
        <v>http://dx.doi.org/10.1016/j.bandc.2021.105831</v>
      </c>
      <c r="BG810" s="1" t="s">
        <v>74</v>
      </c>
      <c r="BH810" s="1" t="s">
        <v>74</v>
      </c>
      <c r="BI810" s="1" t="s">
        <v>74</v>
      </c>
      <c r="BJ810" s="1" t="s">
        <v>74</v>
      </c>
      <c r="BK810" s="1" t="s">
        <v>74</v>
      </c>
      <c r="BL810" s="1" t="s">
        <v>74</v>
      </c>
      <c r="BM810" s="1" t="s">
        <v>74</v>
      </c>
      <c r="BN810" s="1">
        <v>3.492221E7</v>
      </c>
      <c r="BO810" s="1" t="s">
        <v>74</v>
      </c>
      <c r="BP810" s="1" t="s">
        <v>74</v>
      </c>
      <c r="BQ810" s="1" t="s">
        <v>74</v>
      </c>
      <c r="BR810" s="1" t="s">
        <v>74</v>
      </c>
      <c r="BS810" s="1" t="s">
        <v>8122</v>
      </c>
      <c r="BT810" s="1" t="str">
        <f>HYPERLINK("https%3A%2F%2Fwww.webofscience.com%2Fwos%2Fwoscc%2Ffull-record%2FWOS:000779125400002","View Full Record in Web of Science")</f>
        <v>View Full Record in Web of Science</v>
      </c>
    </row>
    <row r="811" ht="12.75" customHeight="1">
      <c r="A811" s="1" t="s">
        <v>72</v>
      </c>
      <c r="B811" s="1" t="s">
        <v>8123</v>
      </c>
      <c r="C811" s="1" t="s">
        <v>74</v>
      </c>
      <c r="D811" s="1" t="s">
        <v>74</v>
      </c>
      <c r="E811" s="1" t="s">
        <v>74</v>
      </c>
      <c r="F811" s="1" t="s">
        <v>8124</v>
      </c>
      <c r="G811" s="1" t="s">
        <v>74</v>
      </c>
      <c r="H811" s="1" t="s">
        <v>74</v>
      </c>
      <c r="I811" s="1" t="s">
        <v>8125</v>
      </c>
      <c r="J811" s="1" t="s">
        <v>6374</v>
      </c>
      <c r="K811" s="1" t="s">
        <v>74</v>
      </c>
      <c r="L811" s="1" t="s">
        <v>74</v>
      </c>
      <c r="M811" s="1" t="s">
        <v>74</v>
      </c>
      <c r="N811" s="1" t="s">
        <v>74</v>
      </c>
      <c r="O811" s="1" t="s">
        <v>74</v>
      </c>
      <c r="P811" s="1" t="s">
        <v>74</v>
      </c>
      <c r="Q811" s="1" t="s">
        <v>74</v>
      </c>
      <c r="R811" s="1" t="s">
        <v>74</v>
      </c>
      <c r="S811" s="1" t="s">
        <v>74</v>
      </c>
      <c r="T811" s="1" t="s">
        <v>74</v>
      </c>
      <c r="U811" s="1" t="s">
        <v>74</v>
      </c>
      <c r="V811" s="1" t="s">
        <v>74</v>
      </c>
      <c r="W811" s="1" t="s">
        <v>74</v>
      </c>
      <c r="X811" s="1" t="s">
        <v>74</v>
      </c>
      <c r="Y811" s="1" t="s">
        <v>74</v>
      </c>
      <c r="Z811" s="1" t="s">
        <v>74</v>
      </c>
      <c r="AA811" s="1" t="s">
        <v>8126</v>
      </c>
      <c r="AB811" s="1" t="s">
        <v>6376</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6377</v>
      </c>
      <c r="AP811" s="1" t="s">
        <v>6378</v>
      </c>
      <c r="AQ811" s="1" t="s">
        <v>74</v>
      </c>
      <c r="AR811" s="1" t="s">
        <v>74</v>
      </c>
      <c r="AS811" s="1" t="s">
        <v>74</v>
      </c>
      <c r="AT811" s="1" t="s">
        <v>141</v>
      </c>
      <c r="AU811" s="1">
        <v>2022.0</v>
      </c>
      <c r="AV811" s="1">
        <v>54.0</v>
      </c>
      <c r="AW811" s="1">
        <v>9.0</v>
      </c>
      <c r="AX811" s="1" t="s">
        <v>74</v>
      </c>
      <c r="AY811" s="1" t="s">
        <v>1303</v>
      </c>
      <c r="AZ811" s="1" t="s">
        <v>74</v>
      </c>
      <c r="BA811" s="1">
        <v>2444.0</v>
      </c>
      <c r="BB811" s="1">
        <v>459.0</v>
      </c>
      <c r="BC811" s="1">
        <v>459.0</v>
      </c>
      <c r="BD811" s="1" t="s">
        <v>74</v>
      </c>
      <c r="BE811" s="1" t="s">
        <v>74</v>
      </c>
      <c r="BF811" s="1" t="s">
        <v>74</v>
      </c>
      <c r="BG811" s="1" t="s">
        <v>74</v>
      </c>
      <c r="BH811" s="1" t="s">
        <v>74</v>
      </c>
      <c r="BI811" s="1" t="s">
        <v>74</v>
      </c>
      <c r="BJ811" s="1" t="s">
        <v>74</v>
      </c>
      <c r="BK811" s="1" t="s">
        <v>74</v>
      </c>
      <c r="BL811" s="1" t="s">
        <v>74</v>
      </c>
      <c r="BM811" s="1" t="s">
        <v>74</v>
      </c>
      <c r="BN811" s="1" t="s">
        <v>74</v>
      </c>
      <c r="BO811" s="1" t="s">
        <v>74</v>
      </c>
      <c r="BP811" s="1" t="s">
        <v>74</v>
      </c>
      <c r="BQ811" s="1" t="s">
        <v>74</v>
      </c>
      <c r="BR811" s="1" t="s">
        <v>74</v>
      </c>
      <c r="BS811" s="1" t="s">
        <v>8127</v>
      </c>
      <c r="BT811" s="1" t="str">
        <f>HYPERLINK("https%3A%2F%2Fwww.webofscience.com%2Fwos%2Fwoscc%2Ffull-record%2FWOS:000888056602066","View Full Record in Web of Science")</f>
        <v>View Full Record in Web of Science</v>
      </c>
    </row>
    <row r="812" ht="12.75" customHeight="1">
      <c r="A812" s="1" t="s">
        <v>72</v>
      </c>
      <c r="B812" s="1" t="s">
        <v>8128</v>
      </c>
      <c r="C812" s="1" t="s">
        <v>74</v>
      </c>
      <c r="D812" s="1" t="s">
        <v>74</v>
      </c>
      <c r="E812" s="1" t="s">
        <v>74</v>
      </c>
      <c r="F812" s="1" t="s">
        <v>8129</v>
      </c>
      <c r="G812" s="1" t="s">
        <v>74</v>
      </c>
      <c r="H812" s="1" t="s">
        <v>74</v>
      </c>
      <c r="I812" s="1" t="s">
        <v>8130</v>
      </c>
      <c r="J812" s="1" t="s">
        <v>6969</v>
      </c>
      <c r="K812" s="1" t="s">
        <v>74</v>
      </c>
      <c r="L812" s="1" t="s">
        <v>74</v>
      </c>
      <c r="M812" s="1" t="s">
        <v>74</v>
      </c>
      <c r="N812" s="1" t="s">
        <v>74</v>
      </c>
      <c r="O812" s="1" t="s">
        <v>74</v>
      </c>
      <c r="P812" s="1" t="s">
        <v>74</v>
      </c>
      <c r="Q812" s="1" t="s">
        <v>74</v>
      </c>
      <c r="R812" s="1" t="s">
        <v>74</v>
      </c>
      <c r="S812" s="1" t="s">
        <v>74</v>
      </c>
      <c r="T812" s="1" t="s">
        <v>74</v>
      </c>
      <c r="U812" s="1" t="s">
        <v>74</v>
      </c>
      <c r="V812" s="1" t="s">
        <v>8131</v>
      </c>
      <c r="W812" s="1" t="s">
        <v>74</v>
      </c>
      <c r="X812" s="1" t="s">
        <v>74</v>
      </c>
      <c r="Y812" s="1" t="s">
        <v>74</v>
      </c>
      <c r="Z812" s="1" t="s">
        <v>74</v>
      </c>
      <c r="AA812" s="1" t="s">
        <v>8132</v>
      </c>
      <c r="AB812" s="1" t="s">
        <v>8133</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6973</v>
      </c>
      <c r="AP812" s="1" t="s">
        <v>6974</v>
      </c>
      <c r="AQ812" s="1" t="s">
        <v>74</v>
      </c>
      <c r="AR812" s="1" t="s">
        <v>74</v>
      </c>
      <c r="AS812" s="1" t="s">
        <v>74</v>
      </c>
      <c r="AT812" s="1" t="s">
        <v>264</v>
      </c>
      <c r="AU812" s="1">
        <v>2022.0</v>
      </c>
      <c r="AV812" s="1">
        <v>58.0</v>
      </c>
      <c r="AW812" s="1">
        <v>1.0</v>
      </c>
      <c r="AX812" s="1" t="s">
        <v>74</v>
      </c>
      <c r="AY812" s="1" t="s">
        <v>74</v>
      </c>
      <c r="AZ812" s="1" t="s">
        <v>74</v>
      </c>
      <c r="BA812" s="1" t="s">
        <v>74</v>
      </c>
      <c r="BB812" s="1">
        <v>76.0</v>
      </c>
      <c r="BC812" s="1">
        <v>85.0</v>
      </c>
      <c r="BD812" s="1" t="s">
        <v>74</v>
      </c>
      <c r="BE812" s="1" t="s">
        <v>8134</v>
      </c>
      <c r="BF812" s="2" t="str">
        <f>HYPERLINK("http://dx.doi.org/10.7589/JWD-D-21-00024","http://dx.doi.org/10.7589/JWD-D-21-00024")</f>
        <v>http://dx.doi.org/10.7589/JWD-D-21-00024</v>
      </c>
      <c r="BG812" s="1" t="s">
        <v>74</v>
      </c>
      <c r="BH812" s="1" t="s">
        <v>74</v>
      </c>
      <c r="BI812" s="1" t="s">
        <v>74</v>
      </c>
      <c r="BJ812" s="1" t="s">
        <v>74</v>
      </c>
      <c r="BK812" s="1" t="s">
        <v>74</v>
      </c>
      <c r="BL812" s="1" t="s">
        <v>74</v>
      </c>
      <c r="BM812" s="1" t="s">
        <v>74</v>
      </c>
      <c r="BN812" s="1">
        <v>3.4714909E7</v>
      </c>
      <c r="BO812" s="1" t="s">
        <v>74</v>
      </c>
      <c r="BP812" s="1" t="s">
        <v>74</v>
      </c>
      <c r="BQ812" s="1" t="s">
        <v>74</v>
      </c>
      <c r="BR812" s="1" t="s">
        <v>74</v>
      </c>
      <c r="BS812" s="1" t="s">
        <v>8135</v>
      </c>
      <c r="BT812" s="1" t="str">
        <f>HYPERLINK("https%3A%2F%2Fwww.webofscience.com%2Fwos%2Fwoscc%2Ffull-record%2FWOS:000741812000008","View Full Record in Web of Science")</f>
        <v>View Full Record in Web of Science</v>
      </c>
    </row>
    <row r="813" ht="12.75" customHeight="1">
      <c r="A813" s="1" t="s">
        <v>72</v>
      </c>
      <c r="B813" s="1" t="s">
        <v>8136</v>
      </c>
      <c r="C813" s="1" t="s">
        <v>74</v>
      </c>
      <c r="D813" s="1" t="s">
        <v>74</v>
      </c>
      <c r="E813" s="1" t="s">
        <v>74</v>
      </c>
      <c r="F813" s="1" t="s">
        <v>8137</v>
      </c>
      <c r="G813" s="1" t="s">
        <v>74</v>
      </c>
      <c r="H813" s="1" t="s">
        <v>74</v>
      </c>
      <c r="I813" s="1" t="s">
        <v>8138</v>
      </c>
      <c r="J813" s="1" t="s">
        <v>1716</v>
      </c>
      <c r="K813" s="1" t="s">
        <v>74</v>
      </c>
      <c r="L813" s="1" t="s">
        <v>74</v>
      </c>
      <c r="M813" s="1" t="s">
        <v>74</v>
      </c>
      <c r="N813" s="1" t="s">
        <v>74</v>
      </c>
      <c r="O813" s="1" t="s">
        <v>74</v>
      </c>
      <c r="P813" s="1" t="s">
        <v>74</v>
      </c>
      <c r="Q813" s="1" t="s">
        <v>74</v>
      </c>
      <c r="R813" s="1" t="s">
        <v>74</v>
      </c>
      <c r="S813" s="1" t="s">
        <v>74</v>
      </c>
      <c r="T813" s="1" t="s">
        <v>74</v>
      </c>
      <c r="U813" s="1" t="s">
        <v>74</v>
      </c>
      <c r="V813" s="1" t="s">
        <v>8139</v>
      </c>
      <c r="W813" s="1" t="s">
        <v>74</v>
      </c>
      <c r="X813" s="1" t="s">
        <v>74</v>
      </c>
      <c r="Y813" s="1" t="s">
        <v>74</v>
      </c>
      <c r="Z813" s="1" t="s">
        <v>74</v>
      </c>
      <c r="AA813" s="1" t="s">
        <v>8140</v>
      </c>
      <c r="AB813" s="1" t="s">
        <v>8141</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1719</v>
      </c>
      <c r="AP813" s="1" t="s">
        <v>1720</v>
      </c>
      <c r="AQ813" s="1" t="s">
        <v>74</v>
      </c>
      <c r="AR813" s="1" t="s">
        <v>74</v>
      </c>
      <c r="AS813" s="1" t="s">
        <v>74</v>
      </c>
      <c r="AT813" s="1" t="s">
        <v>392</v>
      </c>
      <c r="AU813" s="1">
        <v>2024.0</v>
      </c>
      <c r="AV813" s="1">
        <v>173.0</v>
      </c>
      <c r="AW813" s="1" t="s">
        <v>74</v>
      </c>
      <c r="AX813" s="1" t="s">
        <v>74</v>
      </c>
      <c r="AY813" s="1" t="s">
        <v>74</v>
      </c>
      <c r="AZ813" s="1" t="s">
        <v>74</v>
      </c>
      <c r="BA813" s="1" t="s">
        <v>74</v>
      </c>
      <c r="BB813" s="1">
        <v>34.0</v>
      </c>
      <c r="BC813" s="1">
        <v>48.0</v>
      </c>
      <c r="BD813" s="1" t="s">
        <v>74</v>
      </c>
      <c r="BE813" s="1" t="s">
        <v>8142</v>
      </c>
      <c r="BF813" s="2" t="str">
        <f>HYPERLINK("http://dx.doi.org/10.1016/j.cortex.2023.12.013","http://dx.doi.org/10.1016/j.cortex.2023.12.013")</f>
        <v>http://dx.doi.org/10.1016/j.cortex.2023.12.013</v>
      </c>
      <c r="BG813" s="1" t="s">
        <v>74</v>
      </c>
      <c r="BH813" s="1" t="s">
        <v>1329</v>
      </c>
      <c r="BI813" s="1" t="s">
        <v>74</v>
      </c>
      <c r="BJ813" s="1" t="s">
        <v>74</v>
      </c>
      <c r="BK813" s="1" t="s">
        <v>74</v>
      </c>
      <c r="BL813" s="1" t="s">
        <v>74</v>
      </c>
      <c r="BM813" s="1" t="s">
        <v>74</v>
      </c>
      <c r="BN813" s="1">
        <v>3.8359511E7</v>
      </c>
      <c r="BO813" s="1" t="s">
        <v>74</v>
      </c>
      <c r="BP813" s="1" t="s">
        <v>74</v>
      </c>
      <c r="BQ813" s="1" t="s">
        <v>74</v>
      </c>
      <c r="BR813" s="1" t="s">
        <v>74</v>
      </c>
      <c r="BS813" s="1" t="s">
        <v>8143</v>
      </c>
      <c r="BT813" s="1" t="str">
        <f>HYPERLINK("https%3A%2F%2Fwww.webofscience.com%2Fwos%2Fwoscc%2Ffull-record%2FWOS:001188025000001","View Full Record in Web of Science")</f>
        <v>View Full Record in Web of Science</v>
      </c>
    </row>
    <row r="814" ht="12.75" customHeight="1">
      <c r="A814" s="1" t="s">
        <v>72</v>
      </c>
      <c r="B814" s="1" t="s">
        <v>8144</v>
      </c>
      <c r="C814" s="1" t="s">
        <v>74</v>
      </c>
      <c r="D814" s="1" t="s">
        <v>74</v>
      </c>
      <c r="E814" s="1" t="s">
        <v>74</v>
      </c>
      <c r="F814" s="1" t="s">
        <v>8145</v>
      </c>
      <c r="G814" s="1" t="s">
        <v>74</v>
      </c>
      <c r="H814" s="1" t="s">
        <v>74</v>
      </c>
      <c r="I814" s="1" t="s">
        <v>8146</v>
      </c>
      <c r="J814" s="1" t="s">
        <v>3462</v>
      </c>
      <c r="K814" s="1" t="s">
        <v>74</v>
      </c>
      <c r="L814" s="1" t="s">
        <v>74</v>
      </c>
      <c r="M814" s="1" t="s">
        <v>74</v>
      </c>
      <c r="N814" s="1" t="s">
        <v>74</v>
      </c>
      <c r="O814" s="1" t="s">
        <v>74</v>
      </c>
      <c r="P814" s="1" t="s">
        <v>74</v>
      </c>
      <c r="Q814" s="1" t="s">
        <v>74</v>
      </c>
      <c r="R814" s="1" t="s">
        <v>74</v>
      </c>
      <c r="S814" s="1" t="s">
        <v>74</v>
      </c>
      <c r="T814" s="1" t="s">
        <v>74</v>
      </c>
      <c r="U814" s="1" t="s">
        <v>74</v>
      </c>
      <c r="V814" s="1" t="s">
        <v>74</v>
      </c>
      <c r="W814" s="1" t="s">
        <v>74</v>
      </c>
      <c r="X814" s="1" t="s">
        <v>74</v>
      </c>
      <c r="Y814" s="1" t="s">
        <v>74</v>
      </c>
      <c r="Z814" s="1" t="s">
        <v>74</v>
      </c>
      <c r="AA814" s="1" t="s">
        <v>8147</v>
      </c>
      <c r="AB814" s="1" t="s">
        <v>8148</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3466</v>
      </c>
      <c r="AP814" s="1" t="s">
        <v>3467</v>
      </c>
      <c r="AQ814" s="1" t="s">
        <v>74</v>
      </c>
      <c r="AR814" s="1" t="s">
        <v>74</v>
      </c>
      <c r="AS814" s="1" t="s">
        <v>74</v>
      </c>
      <c r="AT814" s="1" t="s">
        <v>745</v>
      </c>
      <c r="AU814" s="1">
        <v>2021.0</v>
      </c>
      <c r="AV814" s="1">
        <v>69.0</v>
      </c>
      <c r="AW814" s="1">
        <v>1.0</v>
      </c>
      <c r="AX814" s="1" t="s">
        <v>74</v>
      </c>
      <c r="AY814" s="1" t="s">
        <v>1303</v>
      </c>
      <c r="AZ814" s="1" t="s">
        <v>74</v>
      </c>
      <c r="BA814" s="1" t="s">
        <v>74</v>
      </c>
      <c r="BB814" s="1" t="s">
        <v>8149</v>
      </c>
      <c r="BC814" s="1" t="s">
        <v>8150</v>
      </c>
      <c r="BD814" s="1" t="s">
        <v>74</v>
      </c>
      <c r="BE814" s="1" t="s">
        <v>8151</v>
      </c>
      <c r="BF814" s="2" t="str">
        <f>HYPERLINK("http://dx.doi.org/10.1016/j.jadohealth.2021.04.012","http://dx.doi.org/10.1016/j.jadohealth.2021.04.012")</f>
        <v>http://dx.doi.org/10.1016/j.jadohealth.2021.04.012</v>
      </c>
      <c r="BG814" s="1" t="s">
        <v>74</v>
      </c>
      <c r="BH814" s="1" t="s">
        <v>7150</v>
      </c>
      <c r="BI814" s="1" t="s">
        <v>74</v>
      </c>
      <c r="BJ814" s="1" t="s">
        <v>74</v>
      </c>
      <c r="BK814" s="1" t="s">
        <v>74</v>
      </c>
      <c r="BL814" s="1" t="s">
        <v>74</v>
      </c>
      <c r="BM814" s="1" t="s">
        <v>74</v>
      </c>
      <c r="BN814" s="1">
        <v>3.4217456E7</v>
      </c>
      <c r="BO814" s="1" t="s">
        <v>74</v>
      </c>
      <c r="BP814" s="1" t="s">
        <v>74</v>
      </c>
      <c r="BQ814" s="1" t="s">
        <v>74</v>
      </c>
      <c r="BR814" s="1" t="s">
        <v>74</v>
      </c>
      <c r="BS814" s="1" t="s">
        <v>8152</v>
      </c>
      <c r="BT814" s="1" t="str">
        <f>HYPERLINK("https%3A%2F%2Fwww.webofscience.com%2Fwos%2Fwoscc%2Ffull-record%2FWOS:000669348200002","View Full Record in Web of Science")</f>
        <v>View Full Record in Web of Science</v>
      </c>
    </row>
    <row r="815" ht="12.75" customHeight="1">
      <c r="A815" s="1" t="s">
        <v>72</v>
      </c>
      <c r="B815" s="1" t="s">
        <v>8153</v>
      </c>
      <c r="C815" s="1" t="s">
        <v>74</v>
      </c>
      <c r="D815" s="1" t="s">
        <v>74</v>
      </c>
      <c r="E815" s="1" t="s">
        <v>74</v>
      </c>
      <c r="F815" s="1" t="s">
        <v>8153</v>
      </c>
      <c r="G815" s="1" t="s">
        <v>74</v>
      </c>
      <c r="H815" s="1" t="s">
        <v>74</v>
      </c>
      <c r="I815" s="1" t="s">
        <v>8154</v>
      </c>
      <c r="J815" s="1" t="s">
        <v>2308</v>
      </c>
      <c r="K815" s="1" t="s">
        <v>74</v>
      </c>
      <c r="L815" s="1" t="s">
        <v>74</v>
      </c>
      <c r="M815" s="1" t="s">
        <v>74</v>
      </c>
      <c r="N815" s="1" t="s">
        <v>74</v>
      </c>
      <c r="O815" s="1" t="s">
        <v>74</v>
      </c>
      <c r="P815" s="1" t="s">
        <v>74</v>
      </c>
      <c r="Q815" s="1" t="s">
        <v>74</v>
      </c>
      <c r="R815" s="1" t="s">
        <v>74</v>
      </c>
      <c r="S815" s="1" t="s">
        <v>74</v>
      </c>
      <c r="T815" s="1" t="s">
        <v>74</v>
      </c>
      <c r="U815" s="1" t="s">
        <v>74</v>
      </c>
      <c r="V815" s="1" t="s">
        <v>8155</v>
      </c>
      <c r="W815" s="1" t="s">
        <v>74</v>
      </c>
      <c r="X815" s="1" t="s">
        <v>74</v>
      </c>
      <c r="Y815" s="1" t="s">
        <v>74</v>
      </c>
      <c r="Z815" s="1" t="s">
        <v>74</v>
      </c>
      <c r="AA815" s="1" t="s">
        <v>74</v>
      </c>
      <c r="AB815" s="1" t="s">
        <v>74</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2312</v>
      </c>
      <c r="AP815" s="1" t="s">
        <v>2313</v>
      </c>
      <c r="AQ815" s="1" t="s">
        <v>74</v>
      </c>
      <c r="AR815" s="1" t="s">
        <v>74</v>
      </c>
      <c r="AS815" s="1" t="s">
        <v>74</v>
      </c>
      <c r="AT815" s="1" t="s">
        <v>74</v>
      </c>
      <c r="AU815" s="1">
        <v>1982.0</v>
      </c>
      <c r="AV815" s="1">
        <v>26.0</v>
      </c>
      <c r="AW815" s="1">
        <v>5.0</v>
      </c>
      <c r="AX815" s="1" t="s">
        <v>74</v>
      </c>
      <c r="AY815" s="1" t="s">
        <v>74</v>
      </c>
      <c r="AZ815" s="1" t="s">
        <v>74</v>
      </c>
      <c r="BA815" s="1" t="s">
        <v>74</v>
      </c>
      <c r="BB815" s="1">
        <v>495.0</v>
      </c>
      <c r="BC815" s="1">
        <v>503.0</v>
      </c>
      <c r="BD815" s="1" t="s">
        <v>74</v>
      </c>
      <c r="BE815" s="1" t="s">
        <v>8156</v>
      </c>
      <c r="BF815" s="2" t="str">
        <f>HYPERLINK("http://dx.doi.org/10.1016/0010-7824(82)90148-2","http://dx.doi.org/10.1016/0010-7824(82)90148-2")</f>
        <v>http://dx.doi.org/10.1016/0010-7824(82)90148-2</v>
      </c>
      <c r="BG815" s="1" t="s">
        <v>74</v>
      </c>
      <c r="BH815" s="1" t="s">
        <v>74</v>
      </c>
      <c r="BI815" s="1" t="s">
        <v>74</v>
      </c>
      <c r="BJ815" s="1" t="s">
        <v>74</v>
      </c>
      <c r="BK815" s="1" t="s">
        <v>74</v>
      </c>
      <c r="BL815" s="1" t="s">
        <v>74</v>
      </c>
      <c r="BM815" s="1" t="s">
        <v>74</v>
      </c>
      <c r="BN815" s="1" t="s">
        <v>74</v>
      </c>
      <c r="BO815" s="1" t="s">
        <v>74</v>
      </c>
      <c r="BP815" s="1" t="s">
        <v>74</v>
      </c>
      <c r="BQ815" s="1" t="s">
        <v>74</v>
      </c>
      <c r="BR815" s="1" t="s">
        <v>74</v>
      </c>
      <c r="BS815" s="1" t="s">
        <v>8157</v>
      </c>
      <c r="BT815" s="1" t="str">
        <f>HYPERLINK("https%3A%2F%2Fwww.webofscience.com%2Fwos%2Fwoscc%2Ffull-record%2FWOS:A1982PW85200006","View Full Record in Web of Science")</f>
        <v>View Full Record in Web of Science</v>
      </c>
    </row>
    <row r="816" ht="12.75" customHeight="1">
      <c r="A816" s="1" t="s">
        <v>72</v>
      </c>
      <c r="B816" s="1" t="s">
        <v>8158</v>
      </c>
      <c r="C816" s="1" t="s">
        <v>74</v>
      </c>
      <c r="D816" s="1" t="s">
        <v>74</v>
      </c>
      <c r="E816" s="1" t="s">
        <v>74</v>
      </c>
      <c r="F816" s="1" t="s">
        <v>8159</v>
      </c>
      <c r="G816" s="1" t="s">
        <v>74</v>
      </c>
      <c r="H816" s="1" t="s">
        <v>74</v>
      </c>
      <c r="I816" s="1" t="s">
        <v>8160</v>
      </c>
      <c r="J816" s="1" t="s">
        <v>8161</v>
      </c>
      <c r="K816" s="1" t="s">
        <v>74</v>
      </c>
      <c r="L816" s="1" t="s">
        <v>74</v>
      </c>
      <c r="M816" s="1" t="s">
        <v>74</v>
      </c>
      <c r="N816" s="1" t="s">
        <v>74</v>
      </c>
      <c r="O816" s="1" t="s">
        <v>74</v>
      </c>
      <c r="P816" s="1" t="s">
        <v>74</v>
      </c>
      <c r="Q816" s="1" t="s">
        <v>74</v>
      </c>
      <c r="R816" s="1" t="s">
        <v>74</v>
      </c>
      <c r="S816" s="1" t="s">
        <v>74</v>
      </c>
      <c r="T816" s="1" t="s">
        <v>74</v>
      </c>
      <c r="U816" s="1" t="s">
        <v>74</v>
      </c>
      <c r="V816" s="1" t="s">
        <v>8162</v>
      </c>
      <c r="W816" s="1" t="s">
        <v>74</v>
      </c>
      <c r="X816" s="1" t="s">
        <v>74</v>
      </c>
      <c r="Y816" s="1" t="s">
        <v>74</v>
      </c>
      <c r="Z816" s="1" t="s">
        <v>74</v>
      </c>
      <c r="AA816" s="1" t="s">
        <v>8163</v>
      </c>
      <c r="AB816" s="1" t="s">
        <v>8164</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8165</v>
      </c>
      <c r="AP816" s="1" t="s">
        <v>8166</v>
      </c>
      <c r="AQ816" s="1" t="s">
        <v>74</v>
      </c>
      <c r="AR816" s="1" t="s">
        <v>74</v>
      </c>
      <c r="AS816" s="1" t="s">
        <v>74</v>
      </c>
      <c r="AT816" s="1" t="s">
        <v>2373</v>
      </c>
      <c r="AU816" s="1">
        <v>2023.0</v>
      </c>
      <c r="AV816" s="1">
        <v>276.0</v>
      </c>
      <c r="AW816" s="1" t="s">
        <v>74</v>
      </c>
      <c r="AX816" s="1" t="s">
        <v>74</v>
      </c>
      <c r="AY816" s="1" t="s">
        <v>74</v>
      </c>
      <c r="AZ816" s="1" t="s">
        <v>74</v>
      </c>
      <c r="BA816" s="1" t="s">
        <v>74</v>
      </c>
      <c r="BB816" s="1" t="s">
        <v>74</v>
      </c>
      <c r="BC816" s="1" t="s">
        <v>74</v>
      </c>
      <c r="BD816" s="1">
        <v>120200.0</v>
      </c>
      <c r="BE816" s="1" t="s">
        <v>8167</v>
      </c>
      <c r="BF816" s="2" t="str">
        <f>HYPERLINK("http://dx.doi.org/10.1016/j.neuroimage.2023.120200","http://dx.doi.org/10.1016/j.neuroimage.2023.120200")</f>
        <v>http://dx.doi.org/10.1016/j.neuroimage.2023.120200</v>
      </c>
      <c r="BG816" s="1" t="s">
        <v>74</v>
      </c>
      <c r="BH816" s="1" t="s">
        <v>835</v>
      </c>
      <c r="BI816" s="1" t="s">
        <v>74</v>
      </c>
      <c r="BJ816" s="1" t="s">
        <v>74</v>
      </c>
      <c r="BK816" s="1" t="s">
        <v>74</v>
      </c>
      <c r="BL816" s="1" t="s">
        <v>74</v>
      </c>
      <c r="BM816" s="1" t="s">
        <v>74</v>
      </c>
      <c r="BN816" s="1">
        <v>3.724556E7</v>
      </c>
      <c r="BO816" s="1" t="s">
        <v>74</v>
      </c>
      <c r="BP816" s="1" t="s">
        <v>74</v>
      </c>
      <c r="BQ816" s="1" t="s">
        <v>74</v>
      </c>
      <c r="BR816" s="1" t="s">
        <v>74</v>
      </c>
      <c r="BS816" s="1" t="s">
        <v>8168</v>
      </c>
      <c r="BT816" s="1" t="str">
        <f>HYPERLINK("https%3A%2F%2Fwww.webofscience.com%2Fwos%2Fwoscc%2Ffull-record%2FWOS:001013477600001","View Full Record in Web of Science")</f>
        <v>View Full Record in Web of Science</v>
      </c>
    </row>
    <row r="817" ht="12.75" customHeight="1">
      <c r="A817" s="1" t="s">
        <v>72</v>
      </c>
      <c r="B817" s="1" t="s">
        <v>8169</v>
      </c>
      <c r="C817" s="1" t="s">
        <v>74</v>
      </c>
      <c r="D817" s="1" t="s">
        <v>74</v>
      </c>
      <c r="E817" s="1" t="s">
        <v>74</v>
      </c>
      <c r="F817" s="1" t="s">
        <v>8170</v>
      </c>
      <c r="G817" s="1" t="s">
        <v>74</v>
      </c>
      <c r="H817" s="1" t="s">
        <v>74</v>
      </c>
      <c r="I817" s="1" t="s">
        <v>8171</v>
      </c>
      <c r="J817" s="1" t="s">
        <v>3000</v>
      </c>
      <c r="K817" s="1" t="s">
        <v>74</v>
      </c>
      <c r="L817" s="1" t="s">
        <v>74</v>
      </c>
      <c r="M817" s="1" t="s">
        <v>74</v>
      </c>
      <c r="N817" s="1" t="s">
        <v>74</v>
      </c>
      <c r="O817" s="1" t="s">
        <v>74</v>
      </c>
      <c r="P817" s="1" t="s">
        <v>74</v>
      </c>
      <c r="Q817" s="1" t="s">
        <v>74</v>
      </c>
      <c r="R817" s="1" t="s">
        <v>74</v>
      </c>
      <c r="S817" s="1" t="s">
        <v>74</v>
      </c>
      <c r="T817" s="1" t="s">
        <v>74</v>
      </c>
      <c r="U817" s="1" t="s">
        <v>74</v>
      </c>
      <c r="V817" s="1" t="s">
        <v>8172</v>
      </c>
      <c r="W817" s="1" t="s">
        <v>74</v>
      </c>
      <c r="X817" s="1" t="s">
        <v>74</v>
      </c>
      <c r="Y817" s="1" t="s">
        <v>74</v>
      </c>
      <c r="Z817" s="1" t="s">
        <v>74</v>
      </c>
      <c r="AA817" s="1" t="s">
        <v>8173</v>
      </c>
      <c r="AB817" s="1" t="s">
        <v>8174</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3004</v>
      </c>
      <c r="AP817" s="1" t="s">
        <v>3005</v>
      </c>
      <c r="AQ817" s="1" t="s">
        <v>74</v>
      </c>
      <c r="AR817" s="1" t="s">
        <v>74</v>
      </c>
      <c r="AS817" s="1" t="s">
        <v>74</v>
      </c>
      <c r="AT817" s="1" t="s">
        <v>1051</v>
      </c>
      <c r="AU817" s="1">
        <v>2022.0</v>
      </c>
      <c r="AV817" s="1">
        <v>107.0</v>
      </c>
      <c r="AW817" s="1">
        <v>6.0</v>
      </c>
      <c r="AX817" s="1" t="s">
        <v>74</v>
      </c>
      <c r="AY817" s="1" t="s">
        <v>74</v>
      </c>
      <c r="AZ817" s="1" t="s">
        <v>74</v>
      </c>
      <c r="BA817" s="1" t="s">
        <v>74</v>
      </c>
      <c r="BB817" s="1" t="s">
        <v>8175</v>
      </c>
      <c r="BC817" s="1" t="s">
        <v>8176</v>
      </c>
      <c r="BD817" s="1" t="s">
        <v>74</v>
      </c>
      <c r="BE817" s="1" t="s">
        <v>8177</v>
      </c>
      <c r="BF817" s="2" t="str">
        <f>HYPERLINK("http://dx.doi.org/10.1210/clinem/dgac021","http://dx.doi.org/10.1210/clinem/dgac021")</f>
        <v>http://dx.doi.org/10.1210/clinem/dgac021</v>
      </c>
      <c r="BG817" s="1" t="s">
        <v>74</v>
      </c>
      <c r="BH817" s="1" t="s">
        <v>1519</v>
      </c>
      <c r="BI817" s="1" t="s">
        <v>74</v>
      </c>
      <c r="BJ817" s="1" t="s">
        <v>74</v>
      </c>
      <c r="BK817" s="1" t="s">
        <v>74</v>
      </c>
      <c r="BL817" s="1" t="s">
        <v>74</v>
      </c>
      <c r="BM817" s="1" t="s">
        <v>74</v>
      </c>
      <c r="BN817" s="1">
        <v>3.5038337E7</v>
      </c>
      <c r="BO817" s="1" t="s">
        <v>74</v>
      </c>
      <c r="BP817" s="1" t="s">
        <v>74</v>
      </c>
      <c r="BQ817" s="1" t="s">
        <v>74</v>
      </c>
      <c r="BR817" s="1" t="s">
        <v>74</v>
      </c>
      <c r="BS817" s="1" t="s">
        <v>8178</v>
      </c>
      <c r="BT817" s="1" t="str">
        <f>HYPERLINK("https%3A%2F%2Fwww.webofscience.com%2Fwos%2Fwoscc%2Ffull-record%2FWOS:000763800800001","View Full Record in Web of Science")</f>
        <v>View Full Record in Web of Science</v>
      </c>
    </row>
    <row r="818" ht="12.75" customHeight="1">
      <c r="A818" s="1" t="s">
        <v>72</v>
      </c>
      <c r="B818" s="1" t="s">
        <v>8179</v>
      </c>
      <c r="C818" s="1" t="s">
        <v>74</v>
      </c>
      <c r="D818" s="1" t="s">
        <v>74</v>
      </c>
      <c r="E818" s="1" t="s">
        <v>74</v>
      </c>
      <c r="F818" s="1" t="s">
        <v>8180</v>
      </c>
      <c r="G818" s="1" t="s">
        <v>74</v>
      </c>
      <c r="H818" s="1" t="s">
        <v>74</v>
      </c>
      <c r="I818" s="1" t="s">
        <v>8181</v>
      </c>
      <c r="J818" s="1" t="s">
        <v>8182</v>
      </c>
      <c r="K818" s="1" t="s">
        <v>74</v>
      </c>
      <c r="L818" s="1" t="s">
        <v>74</v>
      </c>
      <c r="M818" s="1" t="s">
        <v>74</v>
      </c>
      <c r="N818" s="1" t="s">
        <v>74</v>
      </c>
      <c r="O818" s="1" t="s">
        <v>74</v>
      </c>
      <c r="P818" s="1" t="s">
        <v>74</v>
      </c>
      <c r="Q818" s="1" t="s">
        <v>74</v>
      </c>
      <c r="R818" s="1" t="s">
        <v>74</v>
      </c>
      <c r="S818" s="1" t="s">
        <v>74</v>
      </c>
      <c r="T818" s="1" t="s">
        <v>74</v>
      </c>
      <c r="U818" s="1" t="s">
        <v>74</v>
      </c>
      <c r="V818" s="1" t="s">
        <v>8183</v>
      </c>
      <c r="W818" s="1" t="s">
        <v>74</v>
      </c>
      <c r="X818" s="1" t="s">
        <v>74</v>
      </c>
      <c r="Y818" s="1" t="s">
        <v>74</v>
      </c>
      <c r="Z818" s="1" t="s">
        <v>74</v>
      </c>
      <c r="AA818" s="1" t="s">
        <v>8184</v>
      </c>
      <c r="AB818" s="1" t="s">
        <v>8185</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8186</v>
      </c>
      <c r="AP818" s="1" t="s">
        <v>8187</v>
      </c>
      <c r="AQ818" s="1" t="s">
        <v>74</v>
      </c>
      <c r="AR818" s="1" t="s">
        <v>74</v>
      </c>
      <c r="AS818" s="1" t="s">
        <v>74</v>
      </c>
      <c r="AT818" s="1" t="s">
        <v>8188</v>
      </c>
      <c r="AU818" s="1">
        <v>2021.0</v>
      </c>
      <c r="AV818" s="1">
        <v>87.0</v>
      </c>
      <c r="AW818" s="1">
        <v>3.0</v>
      </c>
      <c r="AX818" s="1" t="s">
        <v>74</v>
      </c>
      <c r="AY818" s="1" t="s">
        <v>74</v>
      </c>
      <c r="AZ818" s="1" t="s">
        <v>74</v>
      </c>
      <c r="BA818" s="1" t="s">
        <v>74</v>
      </c>
      <c r="BB818" s="1" t="s">
        <v>74</v>
      </c>
      <c r="BC818" s="1" t="s">
        <v>74</v>
      </c>
      <c r="BD818" s="1">
        <v>9.0587031E8</v>
      </c>
      <c r="BE818" s="1" t="s">
        <v>8189</v>
      </c>
      <c r="BF818" s="2" t="str">
        <f>HYPERLINK("http://dx.doi.org/10.1017/S0022377821000593","http://dx.doi.org/10.1017/S0022377821000593")</f>
        <v>http://dx.doi.org/10.1017/S0022377821000593</v>
      </c>
      <c r="BG818" s="1" t="s">
        <v>74</v>
      </c>
      <c r="BH818" s="1" t="s">
        <v>74</v>
      </c>
      <c r="BI818" s="1" t="s">
        <v>74</v>
      </c>
      <c r="BJ818" s="1" t="s">
        <v>74</v>
      </c>
      <c r="BK818" s="1" t="s">
        <v>74</v>
      </c>
      <c r="BL818" s="1" t="s">
        <v>74</v>
      </c>
      <c r="BM818" s="1" t="s">
        <v>74</v>
      </c>
      <c r="BN818" s="1" t="s">
        <v>74</v>
      </c>
      <c r="BO818" s="1" t="s">
        <v>74</v>
      </c>
      <c r="BP818" s="1" t="s">
        <v>74</v>
      </c>
      <c r="BQ818" s="1" t="s">
        <v>74</v>
      </c>
      <c r="BR818" s="1" t="s">
        <v>74</v>
      </c>
      <c r="BS818" s="1" t="s">
        <v>8190</v>
      </c>
      <c r="BT818" s="1" t="str">
        <f>HYPERLINK("https%3A%2F%2Fwww.webofscience.com%2Fwos%2Fwoscc%2Ffull-record%2FWOS:000660021200001","View Full Record in Web of Science")</f>
        <v>View Full Record in Web of Science</v>
      </c>
    </row>
    <row r="819" ht="12.75" customHeight="1">
      <c r="A819" s="1" t="s">
        <v>72</v>
      </c>
      <c r="B819" s="1" t="s">
        <v>8191</v>
      </c>
      <c r="C819" s="1" t="s">
        <v>74</v>
      </c>
      <c r="D819" s="1" t="s">
        <v>74</v>
      </c>
      <c r="E819" s="1" t="s">
        <v>74</v>
      </c>
      <c r="F819" s="1" t="s">
        <v>8192</v>
      </c>
      <c r="G819" s="1" t="s">
        <v>74</v>
      </c>
      <c r="H819" s="1" t="s">
        <v>74</v>
      </c>
      <c r="I819" s="1" t="s">
        <v>8193</v>
      </c>
      <c r="J819" s="1" t="s">
        <v>1923</v>
      </c>
      <c r="K819" s="1" t="s">
        <v>74</v>
      </c>
      <c r="L819" s="1" t="s">
        <v>74</v>
      </c>
      <c r="M819" s="1" t="s">
        <v>74</v>
      </c>
      <c r="N819" s="1" t="s">
        <v>74</v>
      </c>
      <c r="O819" s="1" t="s">
        <v>74</v>
      </c>
      <c r="P819" s="1" t="s">
        <v>74</v>
      </c>
      <c r="Q819" s="1" t="s">
        <v>74</v>
      </c>
      <c r="R819" s="1" t="s">
        <v>74</v>
      </c>
      <c r="S819" s="1" t="s">
        <v>74</v>
      </c>
      <c r="T819" s="1" t="s">
        <v>74</v>
      </c>
      <c r="U819" s="1" t="s">
        <v>74</v>
      </c>
      <c r="V819" s="1" t="s">
        <v>8194</v>
      </c>
      <c r="W819" s="1" t="s">
        <v>74</v>
      </c>
      <c r="X819" s="1" t="s">
        <v>74</v>
      </c>
      <c r="Y819" s="1" t="s">
        <v>74</v>
      </c>
      <c r="Z819" s="1" t="s">
        <v>74</v>
      </c>
      <c r="AA819" s="1" t="s">
        <v>8195</v>
      </c>
      <c r="AB819" s="1" t="s">
        <v>8196</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1927</v>
      </c>
      <c r="AP819" s="1" t="s">
        <v>1928</v>
      </c>
      <c r="AQ819" s="1" t="s">
        <v>74</v>
      </c>
      <c r="AR819" s="1" t="s">
        <v>74</v>
      </c>
      <c r="AS819" s="1" t="s">
        <v>74</v>
      </c>
      <c r="AT819" s="1" t="s">
        <v>202</v>
      </c>
      <c r="AU819" s="1">
        <v>2021.0</v>
      </c>
      <c r="AV819" s="1">
        <v>31.0</v>
      </c>
      <c r="AW819" s="1">
        <v>6.0</v>
      </c>
      <c r="AX819" s="1" t="s">
        <v>74</v>
      </c>
      <c r="AY819" s="1" t="s">
        <v>74</v>
      </c>
      <c r="AZ819" s="1" t="s">
        <v>74</v>
      </c>
      <c r="BA819" s="1" t="s">
        <v>74</v>
      </c>
      <c r="BB819" s="1">
        <v>1352.0</v>
      </c>
      <c r="BC819" s="1">
        <v>1362.0</v>
      </c>
      <c r="BD819" s="1" t="s">
        <v>74</v>
      </c>
      <c r="BE819" s="1" t="s">
        <v>8197</v>
      </c>
      <c r="BF819" s="2" t="str">
        <f>HYPERLINK("http://dx.doi.org/10.1111/sms.13945","http://dx.doi.org/10.1111/sms.13945")</f>
        <v>http://dx.doi.org/10.1111/sms.13945</v>
      </c>
      <c r="BG819" s="1" t="s">
        <v>74</v>
      </c>
      <c r="BH819" s="1" t="s">
        <v>254</v>
      </c>
      <c r="BI819" s="1" t="s">
        <v>74</v>
      </c>
      <c r="BJ819" s="1" t="s">
        <v>74</v>
      </c>
      <c r="BK819" s="1" t="s">
        <v>74</v>
      </c>
      <c r="BL819" s="1" t="s">
        <v>74</v>
      </c>
      <c r="BM819" s="1" t="s">
        <v>74</v>
      </c>
      <c r="BN819" s="1">
        <v>3.363892E7</v>
      </c>
      <c r="BO819" s="1" t="s">
        <v>74</v>
      </c>
      <c r="BP819" s="1" t="s">
        <v>74</v>
      </c>
      <c r="BQ819" s="1" t="s">
        <v>74</v>
      </c>
      <c r="BR819" s="1" t="s">
        <v>74</v>
      </c>
      <c r="BS819" s="1" t="s">
        <v>8198</v>
      </c>
      <c r="BT819" s="1" t="str">
        <f>HYPERLINK("https%3A%2F%2Fwww.webofscience.com%2Fwos%2Fwoscc%2Ffull-record%2FWOS:000627826700001","View Full Record in Web of Science")</f>
        <v>View Full Record in Web of Science</v>
      </c>
    </row>
    <row r="820" ht="12.75" customHeight="1">
      <c r="A820" s="1" t="s">
        <v>72</v>
      </c>
      <c r="B820" s="1" t="s">
        <v>8199</v>
      </c>
      <c r="C820" s="1" t="s">
        <v>74</v>
      </c>
      <c r="D820" s="1" t="s">
        <v>74</v>
      </c>
      <c r="E820" s="1" t="s">
        <v>74</v>
      </c>
      <c r="F820" s="1" t="s">
        <v>8200</v>
      </c>
      <c r="G820" s="1" t="s">
        <v>74</v>
      </c>
      <c r="H820" s="1" t="s">
        <v>74</v>
      </c>
      <c r="I820" s="1" t="s">
        <v>8201</v>
      </c>
      <c r="J820" s="1" t="s">
        <v>2967</v>
      </c>
      <c r="K820" s="1" t="s">
        <v>74</v>
      </c>
      <c r="L820" s="1" t="s">
        <v>74</v>
      </c>
      <c r="M820" s="1" t="s">
        <v>74</v>
      </c>
      <c r="N820" s="1" t="s">
        <v>74</v>
      </c>
      <c r="O820" s="1" t="s">
        <v>74</v>
      </c>
      <c r="P820" s="1" t="s">
        <v>74</v>
      </c>
      <c r="Q820" s="1" t="s">
        <v>74</v>
      </c>
      <c r="R820" s="1" t="s">
        <v>74</v>
      </c>
      <c r="S820" s="1" t="s">
        <v>74</v>
      </c>
      <c r="T820" s="1" t="s">
        <v>74</v>
      </c>
      <c r="U820" s="1" t="s">
        <v>74</v>
      </c>
      <c r="V820" s="1" t="s">
        <v>8202</v>
      </c>
      <c r="W820" s="1" t="s">
        <v>74</v>
      </c>
      <c r="X820" s="1" t="s">
        <v>74</v>
      </c>
      <c r="Y820" s="1" t="s">
        <v>74</v>
      </c>
      <c r="Z820" s="1" t="s">
        <v>74</v>
      </c>
      <c r="AA820" s="1" t="s">
        <v>8203</v>
      </c>
      <c r="AB820" s="1" t="s">
        <v>8204</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2971</v>
      </c>
      <c r="AP820" s="1" t="s">
        <v>2972</v>
      </c>
      <c r="AQ820" s="1" t="s">
        <v>74</v>
      </c>
      <c r="AR820" s="1" t="s">
        <v>74</v>
      </c>
      <c r="AS820" s="1" t="s">
        <v>74</v>
      </c>
      <c r="AT820" s="1" t="s">
        <v>936</v>
      </c>
      <c r="AU820" s="1">
        <v>2020.0</v>
      </c>
      <c r="AV820" s="1">
        <v>124.0</v>
      </c>
      <c r="AW820" s="1">
        <v>4.0</v>
      </c>
      <c r="AX820" s="1" t="s">
        <v>74</v>
      </c>
      <c r="AY820" s="1" t="s">
        <v>74</v>
      </c>
      <c r="AZ820" s="1" t="s">
        <v>74</v>
      </c>
      <c r="BA820" s="1" t="s">
        <v>74</v>
      </c>
      <c r="BB820" s="1">
        <v>2698.0</v>
      </c>
      <c r="BC820" s="1">
        <v>2704.0</v>
      </c>
      <c r="BD820" s="1" t="s">
        <v>74</v>
      </c>
      <c r="BE820" s="1" t="s">
        <v>8205</v>
      </c>
      <c r="BF820" s="2" t="str">
        <f>HYPERLINK("http://dx.doi.org/10.1021/acs.jpcc.9b10166","http://dx.doi.org/10.1021/acs.jpcc.9b10166")</f>
        <v>http://dx.doi.org/10.1021/acs.jpcc.9b10166</v>
      </c>
      <c r="BG820" s="1" t="s">
        <v>74</v>
      </c>
      <c r="BH820" s="1" t="s">
        <v>74</v>
      </c>
      <c r="BI820" s="1" t="s">
        <v>74</v>
      </c>
      <c r="BJ820" s="1" t="s">
        <v>74</v>
      </c>
      <c r="BK820" s="1" t="s">
        <v>74</v>
      </c>
      <c r="BL820" s="1" t="s">
        <v>74</v>
      </c>
      <c r="BM820" s="1" t="s">
        <v>74</v>
      </c>
      <c r="BN820" s="1" t="s">
        <v>74</v>
      </c>
      <c r="BO820" s="1" t="s">
        <v>74</v>
      </c>
      <c r="BP820" s="1" t="s">
        <v>74</v>
      </c>
      <c r="BQ820" s="1" t="s">
        <v>74</v>
      </c>
      <c r="BR820" s="1" t="s">
        <v>74</v>
      </c>
      <c r="BS820" s="1" t="s">
        <v>8206</v>
      </c>
      <c r="BT820" s="1" t="str">
        <f>HYPERLINK("https%3A%2F%2Fwww.webofscience.com%2Fwos%2Fwoscc%2Ffull-record%2FWOS:000510529400048","View Full Record in Web of Science")</f>
        <v>View Full Record in Web of Science</v>
      </c>
    </row>
    <row r="821" ht="12.75" customHeight="1">
      <c r="A821" s="1" t="s">
        <v>72</v>
      </c>
      <c r="B821" s="1" t="s">
        <v>8207</v>
      </c>
      <c r="C821" s="1" t="s">
        <v>74</v>
      </c>
      <c r="D821" s="1" t="s">
        <v>74</v>
      </c>
      <c r="E821" s="1" t="s">
        <v>74</v>
      </c>
      <c r="F821" s="1" t="s">
        <v>8208</v>
      </c>
      <c r="G821" s="1" t="s">
        <v>74</v>
      </c>
      <c r="H821" s="1" t="s">
        <v>74</v>
      </c>
      <c r="I821" s="1" t="s">
        <v>8209</v>
      </c>
      <c r="J821" s="1" t="s">
        <v>6374</v>
      </c>
      <c r="K821" s="1" t="s">
        <v>74</v>
      </c>
      <c r="L821" s="1" t="s">
        <v>74</v>
      </c>
      <c r="M821" s="1" t="s">
        <v>74</v>
      </c>
      <c r="N821" s="1" t="s">
        <v>74</v>
      </c>
      <c r="O821" s="1" t="s">
        <v>74</v>
      </c>
      <c r="P821" s="1" t="s">
        <v>74</v>
      </c>
      <c r="Q821" s="1" t="s">
        <v>74</v>
      </c>
      <c r="R821" s="1" t="s">
        <v>74</v>
      </c>
      <c r="S821" s="1" t="s">
        <v>74</v>
      </c>
      <c r="T821" s="1" t="s">
        <v>74</v>
      </c>
      <c r="U821" s="1" t="s">
        <v>74</v>
      </c>
      <c r="V821" s="1" t="s">
        <v>74</v>
      </c>
      <c r="W821" s="1" t="s">
        <v>74</v>
      </c>
      <c r="X821" s="1" t="s">
        <v>74</v>
      </c>
      <c r="Y821" s="1" t="s">
        <v>74</v>
      </c>
      <c r="Z821" s="1" t="s">
        <v>74</v>
      </c>
      <c r="AA821" s="1" t="s">
        <v>8210</v>
      </c>
      <c r="AB821" s="1" t="s">
        <v>6376</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6377</v>
      </c>
      <c r="AP821" s="1" t="s">
        <v>6378</v>
      </c>
      <c r="AQ821" s="1" t="s">
        <v>74</v>
      </c>
      <c r="AR821" s="1" t="s">
        <v>74</v>
      </c>
      <c r="AS821" s="1" t="s">
        <v>74</v>
      </c>
      <c r="AT821" s="1" t="s">
        <v>141</v>
      </c>
      <c r="AU821" s="1">
        <v>2022.0</v>
      </c>
      <c r="AV821" s="1">
        <v>54.0</v>
      </c>
      <c r="AW821" s="1">
        <v>9.0</v>
      </c>
      <c r="AX821" s="1" t="s">
        <v>74</v>
      </c>
      <c r="AY821" s="1" t="s">
        <v>1303</v>
      </c>
      <c r="AZ821" s="1" t="s">
        <v>74</v>
      </c>
      <c r="BA821" s="1">
        <v>2453.0</v>
      </c>
      <c r="BB821" s="1">
        <v>462.0</v>
      </c>
      <c r="BC821" s="1">
        <v>462.0</v>
      </c>
      <c r="BD821" s="1" t="s">
        <v>74</v>
      </c>
      <c r="BE821" s="1" t="s">
        <v>74</v>
      </c>
      <c r="BF821" s="1" t="s">
        <v>74</v>
      </c>
      <c r="BG821" s="1" t="s">
        <v>74</v>
      </c>
      <c r="BH821" s="1" t="s">
        <v>74</v>
      </c>
      <c r="BI821" s="1" t="s">
        <v>74</v>
      </c>
      <c r="BJ821" s="1" t="s">
        <v>74</v>
      </c>
      <c r="BK821" s="1" t="s">
        <v>74</v>
      </c>
      <c r="BL821" s="1" t="s">
        <v>74</v>
      </c>
      <c r="BM821" s="1" t="s">
        <v>74</v>
      </c>
      <c r="BN821" s="1" t="s">
        <v>74</v>
      </c>
      <c r="BO821" s="1" t="s">
        <v>74</v>
      </c>
      <c r="BP821" s="1" t="s">
        <v>74</v>
      </c>
      <c r="BQ821" s="1" t="s">
        <v>74</v>
      </c>
      <c r="BR821" s="1" t="s">
        <v>74</v>
      </c>
      <c r="BS821" s="1" t="s">
        <v>8211</v>
      </c>
      <c r="BT821" s="1" t="str">
        <f>HYPERLINK("https%3A%2F%2Fwww.webofscience.com%2Fwos%2Fwoscc%2Ffull-record%2FWOS:000888056602075","View Full Record in Web of Science")</f>
        <v>View Full Record in Web of Science</v>
      </c>
    </row>
    <row r="822" ht="12.75" customHeight="1">
      <c r="A822" s="1" t="s">
        <v>72</v>
      </c>
      <c r="B822" s="1" t="s">
        <v>8212</v>
      </c>
      <c r="C822" s="1" t="s">
        <v>74</v>
      </c>
      <c r="D822" s="1" t="s">
        <v>74</v>
      </c>
      <c r="E822" s="1" t="s">
        <v>74</v>
      </c>
      <c r="F822" s="1" t="s">
        <v>8213</v>
      </c>
      <c r="G822" s="1" t="s">
        <v>74</v>
      </c>
      <c r="H822" s="1" t="s">
        <v>74</v>
      </c>
      <c r="I822" s="1" t="s">
        <v>8214</v>
      </c>
      <c r="J822" s="1" t="s">
        <v>8161</v>
      </c>
      <c r="K822" s="1" t="s">
        <v>74</v>
      </c>
      <c r="L822" s="1" t="s">
        <v>74</v>
      </c>
      <c r="M822" s="1" t="s">
        <v>74</v>
      </c>
      <c r="N822" s="1" t="s">
        <v>74</v>
      </c>
      <c r="O822" s="1" t="s">
        <v>74</v>
      </c>
      <c r="P822" s="1" t="s">
        <v>74</v>
      </c>
      <c r="Q822" s="1" t="s">
        <v>74</v>
      </c>
      <c r="R822" s="1" t="s">
        <v>74</v>
      </c>
      <c r="S822" s="1" t="s">
        <v>74</v>
      </c>
      <c r="T822" s="1" t="s">
        <v>74</v>
      </c>
      <c r="U822" s="1" t="s">
        <v>74</v>
      </c>
      <c r="V822" s="1" t="s">
        <v>74</v>
      </c>
      <c r="W822" s="1" t="s">
        <v>74</v>
      </c>
      <c r="X822" s="1" t="s">
        <v>74</v>
      </c>
      <c r="Y822" s="1" t="s">
        <v>74</v>
      </c>
      <c r="Z822" s="1" t="s">
        <v>74</v>
      </c>
      <c r="AA822" s="1" t="s">
        <v>8215</v>
      </c>
      <c r="AB822" s="1" t="s">
        <v>8216</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8165</v>
      </c>
      <c r="AP822" s="1" t="s">
        <v>8166</v>
      </c>
      <c r="AQ822" s="1" t="s">
        <v>74</v>
      </c>
      <c r="AR822" s="1" t="s">
        <v>74</v>
      </c>
      <c r="AS822" s="1" t="s">
        <v>74</v>
      </c>
      <c r="AT822" s="1" t="s">
        <v>2373</v>
      </c>
      <c r="AU822" s="1">
        <v>2020.0</v>
      </c>
      <c r="AV822" s="1">
        <v>216.0</v>
      </c>
      <c r="AW822" s="1" t="s">
        <v>74</v>
      </c>
      <c r="AX822" s="1" t="s">
        <v>74</v>
      </c>
      <c r="AY822" s="1" t="s">
        <v>74</v>
      </c>
      <c r="AZ822" s="1" t="s">
        <v>74</v>
      </c>
      <c r="BA822" s="1" t="s">
        <v>74</v>
      </c>
      <c r="BB822" s="1" t="s">
        <v>74</v>
      </c>
      <c r="BC822" s="1" t="s">
        <v>74</v>
      </c>
      <c r="BD822" s="1">
        <v>116820.0</v>
      </c>
      <c r="BE822" s="1" t="s">
        <v>8217</v>
      </c>
      <c r="BF822" s="2" t="str">
        <f>HYPERLINK("http://dx.doi.org/10.1016/j.neuroimage.2020.116820","http://dx.doi.org/10.1016/j.neuroimage.2020.116820")</f>
        <v>http://dx.doi.org/10.1016/j.neuroimage.2020.116820</v>
      </c>
      <c r="BG822" s="1" t="s">
        <v>74</v>
      </c>
      <c r="BH822" s="1" t="s">
        <v>74</v>
      </c>
      <c r="BI822" s="1" t="s">
        <v>74</v>
      </c>
      <c r="BJ822" s="1" t="s">
        <v>74</v>
      </c>
      <c r="BK822" s="1" t="s">
        <v>74</v>
      </c>
      <c r="BL822" s="1" t="s">
        <v>74</v>
      </c>
      <c r="BM822" s="1" t="s">
        <v>74</v>
      </c>
      <c r="BN822" s="1">
        <v>3.2278096E7</v>
      </c>
      <c r="BO822" s="1" t="s">
        <v>74</v>
      </c>
      <c r="BP822" s="1" t="s">
        <v>74</v>
      </c>
      <c r="BQ822" s="1" t="s">
        <v>74</v>
      </c>
      <c r="BR822" s="1" t="s">
        <v>74</v>
      </c>
      <c r="BS822" s="1" t="s">
        <v>8218</v>
      </c>
      <c r="BT822" s="1" t="str">
        <f>HYPERLINK("https%3A%2F%2Fwww.webofscience.com%2Fwos%2Fwoscc%2Ffull-record%2FWOS:000541141700016","View Full Record in Web of Science")</f>
        <v>View Full Record in Web of Science</v>
      </c>
    </row>
    <row r="823" ht="12.75" customHeight="1">
      <c r="A823" s="1" t="s">
        <v>72</v>
      </c>
      <c r="B823" s="1" t="s">
        <v>8219</v>
      </c>
      <c r="C823" s="1" t="s">
        <v>74</v>
      </c>
      <c r="D823" s="1" t="s">
        <v>74</v>
      </c>
      <c r="E823" s="1" t="s">
        <v>74</v>
      </c>
      <c r="F823" s="1" t="s">
        <v>8220</v>
      </c>
      <c r="G823" s="1" t="s">
        <v>74</v>
      </c>
      <c r="H823" s="1" t="s">
        <v>74</v>
      </c>
      <c r="I823" s="1" t="s">
        <v>8221</v>
      </c>
      <c r="J823" s="1" t="s">
        <v>8222</v>
      </c>
      <c r="K823" s="1" t="s">
        <v>74</v>
      </c>
      <c r="L823" s="1" t="s">
        <v>74</v>
      </c>
      <c r="M823" s="1" t="s">
        <v>74</v>
      </c>
      <c r="N823" s="1" t="s">
        <v>74</v>
      </c>
      <c r="O823" s="1" t="s">
        <v>74</v>
      </c>
      <c r="P823" s="1" t="s">
        <v>74</v>
      </c>
      <c r="Q823" s="1" t="s">
        <v>74</v>
      </c>
      <c r="R823" s="1" t="s">
        <v>74</v>
      </c>
      <c r="S823" s="1" t="s">
        <v>74</v>
      </c>
      <c r="T823" s="1" t="s">
        <v>74</v>
      </c>
      <c r="U823" s="1" t="s">
        <v>74</v>
      </c>
      <c r="V823" s="1" t="s">
        <v>8223</v>
      </c>
      <c r="W823" s="1" t="s">
        <v>74</v>
      </c>
      <c r="X823" s="1" t="s">
        <v>74</v>
      </c>
      <c r="Y823" s="1" t="s">
        <v>74</v>
      </c>
      <c r="Z823" s="1" t="s">
        <v>74</v>
      </c>
      <c r="AA823" s="1" t="s">
        <v>8224</v>
      </c>
      <c r="AB823" s="1" t="s">
        <v>8225</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8226</v>
      </c>
      <c r="AP823" s="1" t="s">
        <v>8227</v>
      </c>
      <c r="AQ823" s="1" t="s">
        <v>74</v>
      </c>
      <c r="AR823" s="1" t="s">
        <v>74</v>
      </c>
      <c r="AS823" s="1" t="s">
        <v>74</v>
      </c>
      <c r="AT823" s="1" t="s">
        <v>6933</v>
      </c>
      <c r="AU823" s="1">
        <v>2025.0</v>
      </c>
      <c r="AV823" s="1">
        <v>19.0</v>
      </c>
      <c r="AW823" s="1">
        <v>1.0</v>
      </c>
      <c r="AX823" s="1" t="s">
        <v>74</v>
      </c>
      <c r="AY823" s="1" t="s">
        <v>74</v>
      </c>
      <c r="AZ823" s="1" t="s">
        <v>74</v>
      </c>
      <c r="BA823" s="1" t="s">
        <v>74</v>
      </c>
      <c r="BB823" s="1" t="s">
        <v>74</v>
      </c>
      <c r="BC823" s="1" t="s">
        <v>74</v>
      </c>
      <c r="BD823" s="1">
        <v>2450477.0</v>
      </c>
      <c r="BE823" s="1" t="s">
        <v>8228</v>
      </c>
      <c r="BF823" s="2" t="str">
        <f>HYPERLINK("http://dx.doi.org/10.1080/19942060.2025.2450477","http://dx.doi.org/10.1080/19942060.2025.2450477")</f>
        <v>http://dx.doi.org/10.1080/19942060.2025.2450477</v>
      </c>
      <c r="BG823" s="1" t="s">
        <v>74</v>
      </c>
      <c r="BH823" s="1" t="s">
        <v>74</v>
      </c>
      <c r="BI823" s="1" t="s">
        <v>74</v>
      </c>
      <c r="BJ823" s="1" t="s">
        <v>74</v>
      </c>
      <c r="BK823" s="1" t="s">
        <v>74</v>
      </c>
      <c r="BL823" s="1" t="s">
        <v>74</v>
      </c>
      <c r="BM823" s="1" t="s">
        <v>74</v>
      </c>
      <c r="BN823" s="1" t="s">
        <v>74</v>
      </c>
      <c r="BO823" s="1" t="s">
        <v>74</v>
      </c>
      <c r="BP823" s="1" t="s">
        <v>74</v>
      </c>
      <c r="BQ823" s="1" t="s">
        <v>74</v>
      </c>
      <c r="BR823" s="1" t="s">
        <v>74</v>
      </c>
      <c r="BS823" s="1" t="s">
        <v>8229</v>
      </c>
      <c r="BT823" s="1" t="str">
        <f>HYPERLINK("https%3A%2F%2Fwww.webofscience.com%2Fwos%2Fwoscc%2Ffull-record%2FWOS:001401089200001","View Full Record in Web of Science")</f>
        <v>View Full Record in Web of Science</v>
      </c>
    </row>
    <row r="824" ht="12.75" customHeight="1">
      <c r="A824" s="1" t="s">
        <v>72</v>
      </c>
      <c r="B824" s="1" t="s">
        <v>8230</v>
      </c>
      <c r="C824" s="1" t="s">
        <v>74</v>
      </c>
      <c r="D824" s="1" t="s">
        <v>74</v>
      </c>
      <c r="E824" s="1" t="s">
        <v>74</v>
      </c>
      <c r="F824" s="1" t="s">
        <v>8231</v>
      </c>
      <c r="G824" s="1" t="s">
        <v>74</v>
      </c>
      <c r="H824" s="1" t="s">
        <v>74</v>
      </c>
      <c r="I824" s="1" t="s">
        <v>8232</v>
      </c>
      <c r="J824" s="1" t="s">
        <v>8233</v>
      </c>
      <c r="K824" s="1" t="s">
        <v>74</v>
      </c>
      <c r="L824" s="1" t="s">
        <v>74</v>
      </c>
      <c r="M824" s="1" t="s">
        <v>74</v>
      </c>
      <c r="N824" s="1" t="s">
        <v>74</v>
      </c>
      <c r="O824" s="1" t="s">
        <v>74</v>
      </c>
      <c r="P824" s="1" t="s">
        <v>74</v>
      </c>
      <c r="Q824" s="1" t="s">
        <v>74</v>
      </c>
      <c r="R824" s="1" t="s">
        <v>74</v>
      </c>
      <c r="S824" s="1" t="s">
        <v>74</v>
      </c>
      <c r="T824" s="1" t="s">
        <v>74</v>
      </c>
      <c r="U824" s="1" t="s">
        <v>74</v>
      </c>
      <c r="V824" s="1" t="s">
        <v>8234</v>
      </c>
      <c r="W824" s="1" t="s">
        <v>74</v>
      </c>
      <c r="X824" s="1" t="s">
        <v>74</v>
      </c>
      <c r="Y824" s="1" t="s">
        <v>74</v>
      </c>
      <c r="Z824" s="1" t="s">
        <v>74</v>
      </c>
      <c r="AA824" s="1" t="s">
        <v>8235</v>
      </c>
      <c r="AB824" s="1" t="s">
        <v>8236</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8237</v>
      </c>
      <c r="AP824" s="1" t="s">
        <v>8238</v>
      </c>
      <c r="AQ824" s="1" t="s">
        <v>74</v>
      </c>
      <c r="AR824" s="1" t="s">
        <v>74</v>
      </c>
      <c r="AS824" s="1" t="s">
        <v>74</v>
      </c>
      <c r="AT824" s="1" t="s">
        <v>2104</v>
      </c>
      <c r="AU824" s="1">
        <v>2022.0</v>
      </c>
      <c r="AV824" s="1">
        <v>43.0</v>
      </c>
      <c r="AW824" s="1">
        <v>9.0</v>
      </c>
      <c r="AX824" s="1" t="s">
        <v>74</v>
      </c>
      <c r="AY824" s="1" t="s">
        <v>74</v>
      </c>
      <c r="AZ824" s="1" t="s">
        <v>74</v>
      </c>
      <c r="BA824" s="1" t="s">
        <v>74</v>
      </c>
      <c r="BB824" s="1">
        <v>2817.0</v>
      </c>
      <c r="BC824" s="1">
        <v>2832.0</v>
      </c>
      <c r="BD824" s="1" t="s">
        <v>74</v>
      </c>
      <c r="BE824" s="1" t="s">
        <v>8239</v>
      </c>
      <c r="BF824" s="2" t="str">
        <f>HYPERLINK("http://dx.doi.org/10.1002/hbm.25818","http://dx.doi.org/10.1002/hbm.25818")</f>
        <v>http://dx.doi.org/10.1002/hbm.25818</v>
      </c>
      <c r="BG824" s="1" t="s">
        <v>74</v>
      </c>
      <c r="BH824" s="1" t="s">
        <v>1211</v>
      </c>
      <c r="BI824" s="1" t="s">
        <v>74</v>
      </c>
      <c r="BJ824" s="1" t="s">
        <v>74</v>
      </c>
      <c r="BK824" s="1" t="s">
        <v>74</v>
      </c>
      <c r="BL824" s="1" t="s">
        <v>74</v>
      </c>
      <c r="BM824" s="1" t="s">
        <v>74</v>
      </c>
      <c r="BN824" s="1">
        <v>3.5274804E7</v>
      </c>
      <c r="BO824" s="1" t="s">
        <v>74</v>
      </c>
      <c r="BP824" s="1" t="s">
        <v>74</v>
      </c>
      <c r="BQ824" s="1" t="s">
        <v>74</v>
      </c>
      <c r="BR824" s="1" t="s">
        <v>74</v>
      </c>
      <c r="BS824" s="1" t="s">
        <v>8240</v>
      </c>
      <c r="BT824" s="1" t="str">
        <f>HYPERLINK("https%3A%2F%2Fwww.webofscience.com%2Fwos%2Fwoscc%2Ffull-record%2FWOS:000767196600001","View Full Record in Web of Science")</f>
        <v>View Full Record in Web of Science</v>
      </c>
    </row>
    <row r="825" ht="12.75" customHeight="1">
      <c r="A825" s="1" t="s">
        <v>72</v>
      </c>
      <c r="B825" s="1" t="s">
        <v>8241</v>
      </c>
      <c r="C825" s="1" t="s">
        <v>74</v>
      </c>
      <c r="D825" s="1" t="s">
        <v>74</v>
      </c>
      <c r="E825" s="1" t="s">
        <v>74</v>
      </c>
      <c r="F825" s="1" t="s">
        <v>8242</v>
      </c>
      <c r="G825" s="1" t="s">
        <v>74</v>
      </c>
      <c r="H825" s="1" t="s">
        <v>74</v>
      </c>
      <c r="I825" s="1" t="s">
        <v>8243</v>
      </c>
      <c r="J825" s="1" t="s">
        <v>8244</v>
      </c>
      <c r="K825" s="1" t="s">
        <v>74</v>
      </c>
      <c r="L825" s="1" t="s">
        <v>74</v>
      </c>
      <c r="M825" s="1" t="s">
        <v>74</v>
      </c>
      <c r="N825" s="1" t="s">
        <v>74</v>
      </c>
      <c r="O825" s="1" t="s">
        <v>74</v>
      </c>
      <c r="P825" s="1" t="s">
        <v>74</v>
      </c>
      <c r="Q825" s="1" t="s">
        <v>74</v>
      </c>
      <c r="R825" s="1" t="s">
        <v>74</v>
      </c>
      <c r="S825" s="1" t="s">
        <v>74</v>
      </c>
      <c r="T825" s="1" t="s">
        <v>74</v>
      </c>
      <c r="U825" s="1" t="s">
        <v>74</v>
      </c>
      <c r="V825" s="1" t="s">
        <v>8245</v>
      </c>
      <c r="W825" s="1" t="s">
        <v>74</v>
      </c>
      <c r="X825" s="1" t="s">
        <v>74</v>
      </c>
      <c r="Y825" s="1" t="s">
        <v>74</v>
      </c>
      <c r="Z825" s="1" t="s">
        <v>74</v>
      </c>
      <c r="AA825" s="1" t="s">
        <v>8246</v>
      </c>
      <c r="AB825" s="1" t="s">
        <v>8247</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8248</v>
      </c>
      <c r="AP825" s="1" t="s">
        <v>8249</v>
      </c>
      <c r="AQ825" s="1" t="s">
        <v>74</v>
      </c>
      <c r="AR825" s="1" t="s">
        <v>74</v>
      </c>
      <c r="AS825" s="1" t="s">
        <v>74</v>
      </c>
      <c r="AT825" s="1" t="s">
        <v>202</v>
      </c>
      <c r="AU825" s="1">
        <v>2018.0</v>
      </c>
      <c r="AV825" s="1">
        <v>21.0</v>
      </c>
      <c r="AW825" s="1">
        <v>3.0</v>
      </c>
      <c r="AX825" s="1" t="s">
        <v>74</v>
      </c>
      <c r="AY825" s="1" t="s">
        <v>74</v>
      </c>
      <c r="AZ825" s="1" t="s">
        <v>74</v>
      </c>
      <c r="BA825" s="1" t="s">
        <v>74</v>
      </c>
      <c r="BB825" s="1">
        <v>305.0</v>
      </c>
      <c r="BC825" s="1">
        <v>312.0</v>
      </c>
      <c r="BD825" s="1" t="s">
        <v>74</v>
      </c>
      <c r="BE825" s="1" t="s">
        <v>8250</v>
      </c>
      <c r="BF825" s="2" t="str">
        <f>HYPERLINK("http://dx.doi.org/10.1007/s10951-017-0533-1","http://dx.doi.org/10.1007/s10951-017-0533-1")</f>
        <v>http://dx.doi.org/10.1007/s10951-017-0533-1</v>
      </c>
      <c r="BG825" s="1" t="s">
        <v>74</v>
      </c>
      <c r="BH825" s="1" t="s">
        <v>74</v>
      </c>
      <c r="BI825" s="1" t="s">
        <v>74</v>
      </c>
      <c r="BJ825" s="1" t="s">
        <v>74</v>
      </c>
      <c r="BK825" s="1" t="s">
        <v>74</v>
      </c>
      <c r="BL825" s="1" t="s">
        <v>74</v>
      </c>
      <c r="BM825" s="1" t="s">
        <v>74</v>
      </c>
      <c r="BN825" s="1" t="s">
        <v>74</v>
      </c>
      <c r="BO825" s="1" t="s">
        <v>74</v>
      </c>
      <c r="BP825" s="1" t="s">
        <v>74</v>
      </c>
      <c r="BQ825" s="1" t="s">
        <v>74</v>
      </c>
      <c r="BR825" s="1" t="s">
        <v>74</v>
      </c>
      <c r="BS825" s="1" t="s">
        <v>8251</v>
      </c>
      <c r="BT825" s="1" t="str">
        <f>HYPERLINK("https%3A%2F%2Fwww.webofscience.com%2Fwos%2Fwoscc%2Ffull-record%2FWOS:000433520800003","View Full Record in Web of Science")</f>
        <v>View Full Record in Web of Science</v>
      </c>
    </row>
    <row r="826" ht="12.75" customHeight="1">
      <c r="A826" s="1" t="s">
        <v>72</v>
      </c>
      <c r="B826" s="1" t="s">
        <v>8252</v>
      </c>
      <c r="C826" s="1" t="s">
        <v>74</v>
      </c>
      <c r="D826" s="1" t="s">
        <v>74</v>
      </c>
      <c r="E826" s="1" t="s">
        <v>74</v>
      </c>
      <c r="F826" s="1" t="s">
        <v>8253</v>
      </c>
      <c r="G826" s="1" t="s">
        <v>74</v>
      </c>
      <c r="H826" s="1" t="s">
        <v>74</v>
      </c>
      <c r="I826" s="1" t="s">
        <v>8254</v>
      </c>
      <c r="J826" s="1" t="s">
        <v>1441</v>
      </c>
      <c r="K826" s="1" t="s">
        <v>74</v>
      </c>
      <c r="L826" s="1" t="s">
        <v>74</v>
      </c>
      <c r="M826" s="1" t="s">
        <v>74</v>
      </c>
      <c r="N826" s="1" t="s">
        <v>74</v>
      </c>
      <c r="O826" s="1" t="s">
        <v>74</v>
      </c>
      <c r="P826" s="1" t="s">
        <v>74</v>
      </c>
      <c r="Q826" s="1" t="s">
        <v>74</v>
      </c>
      <c r="R826" s="1" t="s">
        <v>74</v>
      </c>
      <c r="S826" s="1" t="s">
        <v>74</v>
      </c>
      <c r="T826" s="1" t="s">
        <v>74</v>
      </c>
      <c r="U826" s="1" t="s">
        <v>74</v>
      </c>
      <c r="V826" s="1" t="s">
        <v>8255</v>
      </c>
      <c r="W826" s="1" t="s">
        <v>74</v>
      </c>
      <c r="X826" s="1" t="s">
        <v>74</v>
      </c>
      <c r="Y826" s="1" t="s">
        <v>74</v>
      </c>
      <c r="Z826" s="1" t="s">
        <v>74</v>
      </c>
      <c r="AA826" s="1" t="s">
        <v>8256</v>
      </c>
      <c r="AB826" s="1" t="s">
        <v>8257</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1445</v>
      </c>
      <c r="AP826" s="1" t="s">
        <v>1446</v>
      </c>
      <c r="AQ826" s="1" t="s">
        <v>74</v>
      </c>
      <c r="AR826" s="1" t="s">
        <v>74</v>
      </c>
      <c r="AS826" s="1" t="s">
        <v>74</v>
      </c>
      <c r="AT826" s="1" t="s">
        <v>118</v>
      </c>
      <c r="AU826" s="1">
        <v>2022.0</v>
      </c>
      <c r="AV826" s="1">
        <v>937.0</v>
      </c>
      <c r="AW826" s="1">
        <v>2.0</v>
      </c>
      <c r="AX826" s="1" t="s">
        <v>74</v>
      </c>
      <c r="AY826" s="1" t="s">
        <v>74</v>
      </c>
      <c r="AZ826" s="1" t="s">
        <v>74</v>
      </c>
      <c r="BA826" s="1" t="s">
        <v>74</v>
      </c>
      <c r="BB826" s="1" t="s">
        <v>74</v>
      </c>
      <c r="BC826" s="1" t="s">
        <v>74</v>
      </c>
      <c r="BD826" s="1">
        <v>49.0</v>
      </c>
      <c r="BE826" s="1" t="s">
        <v>8258</v>
      </c>
      <c r="BF826" s="2" t="str">
        <f>HYPERLINK("http://dx.doi.org/10.3847/1538-4357/ac8cf8","http://dx.doi.org/10.3847/1538-4357/ac8cf8")</f>
        <v>http://dx.doi.org/10.3847/1538-4357/ac8cf8</v>
      </c>
      <c r="BG826" s="1" t="s">
        <v>74</v>
      </c>
      <c r="BH826" s="1" t="s">
        <v>74</v>
      </c>
      <c r="BI826" s="1" t="s">
        <v>74</v>
      </c>
      <c r="BJ826" s="1" t="s">
        <v>74</v>
      </c>
      <c r="BK826" s="1" t="s">
        <v>74</v>
      </c>
      <c r="BL826" s="1" t="s">
        <v>74</v>
      </c>
      <c r="BM826" s="1" t="s">
        <v>74</v>
      </c>
      <c r="BN826" s="1" t="s">
        <v>74</v>
      </c>
      <c r="BO826" s="1" t="s">
        <v>74</v>
      </c>
      <c r="BP826" s="1" t="s">
        <v>74</v>
      </c>
      <c r="BQ826" s="1" t="s">
        <v>74</v>
      </c>
      <c r="BR826" s="1" t="s">
        <v>74</v>
      </c>
      <c r="BS826" s="1" t="s">
        <v>8259</v>
      </c>
      <c r="BT826" s="1" t="str">
        <f>HYPERLINK("https%3A%2F%2Fwww.webofscience.com%2Fwos%2Fwoscc%2Ffull-record%2FWOS:000860220900001","View Full Record in Web of Science")</f>
        <v>View Full Record in Web of Science</v>
      </c>
    </row>
    <row r="827" ht="12.75" customHeight="1">
      <c r="A827" s="1" t="s">
        <v>72</v>
      </c>
      <c r="B827" s="1" t="s">
        <v>8260</v>
      </c>
      <c r="C827" s="1" t="s">
        <v>74</v>
      </c>
      <c r="D827" s="1" t="s">
        <v>74</v>
      </c>
      <c r="E827" s="1" t="s">
        <v>74</v>
      </c>
      <c r="F827" s="1" t="s">
        <v>8261</v>
      </c>
      <c r="G827" s="1" t="s">
        <v>74</v>
      </c>
      <c r="H827" s="1" t="s">
        <v>74</v>
      </c>
      <c r="I827" s="1" t="s">
        <v>8262</v>
      </c>
      <c r="J827" s="1" t="s">
        <v>8263</v>
      </c>
      <c r="K827" s="1" t="s">
        <v>74</v>
      </c>
      <c r="L827" s="1" t="s">
        <v>74</v>
      </c>
      <c r="M827" s="1" t="s">
        <v>74</v>
      </c>
      <c r="N827" s="1" t="s">
        <v>74</v>
      </c>
      <c r="O827" s="1" t="s">
        <v>74</v>
      </c>
      <c r="P827" s="1" t="s">
        <v>74</v>
      </c>
      <c r="Q827" s="1" t="s">
        <v>74</v>
      </c>
      <c r="R827" s="1" t="s">
        <v>74</v>
      </c>
      <c r="S827" s="1" t="s">
        <v>74</v>
      </c>
      <c r="T827" s="1" t="s">
        <v>74</v>
      </c>
      <c r="U827" s="1" t="s">
        <v>74</v>
      </c>
      <c r="V827" s="1" t="s">
        <v>8264</v>
      </c>
      <c r="W827" s="1" t="s">
        <v>74</v>
      </c>
      <c r="X827" s="1" t="s">
        <v>74</v>
      </c>
      <c r="Y827" s="1" t="s">
        <v>74</v>
      </c>
      <c r="Z827" s="1" t="s">
        <v>74</v>
      </c>
      <c r="AA827" s="1" t="s">
        <v>8265</v>
      </c>
      <c r="AB827" s="1" t="s">
        <v>8266</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8267</v>
      </c>
      <c r="AP827" s="1" t="s">
        <v>8268</v>
      </c>
      <c r="AQ827" s="1" t="s">
        <v>74</v>
      </c>
      <c r="AR827" s="1" t="s">
        <v>74</v>
      </c>
      <c r="AS827" s="1" t="s">
        <v>74</v>
      </c>
      <c r="AT827" s="1" t="s">
        <v>4668</v>
      </c>
      <c r="AU827" s="1">
        <v>2019.0</v>
      </c>
      <c r="AV827" s="1">
        <v>374.0</v>
      </c>
      <c r="AW827" s="1">
        <v>1772.0</v>
      </c>
      <c r="AX827" s="1" t="s">
        <v>74</v>
      </c>
      <c r="AY827" s="1" t="s">
        <v>74</v>
      </c>
      <c r="AZ827" s="1" t="s">
        <v>448</v>
      </c>
      <c r="BA827" s="1" t="s">
        <v>74</v>
      </c>
      <c r="BB827" s="1" t="s">
        <v>74</v>
      </c>
      <c r="BC827" s="1" t="s">
        <v>74</v>
      </c>
      <c r="BD827" s="1">
        <v>2.0180092E7</v>
      </c>
      <c r="BE827" s="1" t="s">
        <v>8269</v>
      </c>
      <c r="BF827" s="2" t="str">
        <f>HYPERLINK("http://dx.doi.org/10.1098/rstb.2018.0092","http://dx.doi.org/10.1098/rstb.2018.0092")</f>
        <v>http://dx.doi.org/10.1098/rstb.2018.0092</v>
      </c>
      <c r="BG827" s="1" t="s">
        <v>74</v>
      </c>
      <c r="BH827" s="1" t="s">
        <v>74</v>
      </c>
      <c r="BI827" s="1" t="s">
        <v>74</v>
      </c>
      <c r="BJ827" s="1" t="s">
        <v>74</v>
      </c>
      <c r="BK827" s="1" t="s">
        <v>74</v>
      </c>
      <c r="BL827" s="1" t="s">
        <v>74</v>
      </c>
      <c r="BM827" s="1" t="s">
        <v>74</v>
      </c>
      <c r="BN827" s="1">
        <v>3.0905291E7</v>
      </c>
      <c r="BO827" s="1" t="s">
        <v>74</v>
      </c>
      <c r="BP827" s="1" t="s">
        <v>74</v>
      </c>
      <c r="BQ827" s="1" t="s">
        <v>74</v>
      </c>
      <c r="BR827" s="1" t="s">
        <v>74</v>
      </c>
      <c r="BS827" s="1" t="s">
        <v>8270</v>
      </c>
      <c r="BT827" s="1" t="str">
        <f>HYPERLINK("https%3A%2F%2Fwww.webofscience.com%2Fwos%2Fwoscc%2Ffull-record%2FWOS:000465490800005","View Full Record in Web of Science")</f>
        <v>View Full Record in Web of Science</v>
      </c>
    </row>
    <row r="828" ht="12.75" customHeight="1">
      <c r="A828" s="1" t="s">
        <v>72</v>
      </c>
      <c r="B828" s="1" t="s">
        <v>8271</v>
      </c>
      <c r="C828" s="1" t="s">
        <v>74</v>
      </c>
      <c r="D828" s="1" t="s">
        <v>74</v>
      </c>
      <c r="E828" s="1" t="s">
        <v>74</v>
      </c>
      <c r="F828" s="1" t="s">
        <v>8272</v>
      </c>
      <c r="G828" s="1" t="s">
        <v>74</v>
      </c>
      <c r="H828" s="1" t="s">
        <v>74</v>
      </c>
      <c r="I828" s="1" t="s">
        <v>8273</v>
      </c>
      <c r="J828" s="1" t="s">
        <v>2379</v>
      </c>
      <c r="K828" s="1" t="s">
        <v>74</v>
      </c>
      <c r="L828" s="1" t="s">
        <v>74</v>
      </c>
      <c r="M828" s="1" t="s">
        <v>74</v>
      </c>
      <c r="N828" s="1" t="s">
        <v>74</v>
      </c>
      <c r="O828" s="1" t="s">
        <v>74</v>
      </c>
      <c r="P828" s="1" t="s">
        <v>74</v>
      </c>
      <c r="Q828" s="1" t="s">
        <v>74</v>
      </c>
      <c r="R828" s="1" t="s">
        <v>74</v>
      </c>
      <c r="S828" s="1" t="s">
        <v>74</v>
      </c>
      <c r="T828" s="1" t="s">
        <v>74</v>
      </c>
      <c r="U828" s="1" t="s">
        <v>74</v>
      </c>
      <c r="V828" s="1" t="s">
        <v>8274</v>
      </c>
      <c r="W828" s="1" t="s">
        <v>74</v>
      </c>
      <c r="X828" s="1" t="s">
        <v>74</v>
      </c>
      <c r="Y828" s="1" t="s">
        <v>74</v>
      </c>
      <c r="Z828" s="1" t="s">
        <v>74</v>
      </c>
      <c r="AA828" s="1" t="s">
        <v>8275</v>
      </c>
      <c r="AB828" s="1" t="s">
        <v>8276</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2383</v>
      </c>
      <c r="AP828" s="1" t="s">
        <v>2384</v>
      </c>
      <c r="AQ828" s="1" t="s">
        <v>74</v>
      </c>
      <c r="AR828" s="1" t="s">
        <v>74</v>
      </c>
      <c r="AS828" s="1" t="s">
        <v>74</v>
      </c>
      <c r="AT828" s="1" t="s">
        <v>8277</v>
      </c>
      <c r="AU828" s="1">
        <v>2019.0</v>
      </c>
      <c r="AV828" s="1">
        <v>48.0</v>
      </c>
      <c r="AW828" s="1">
        <v>37.0</v>
      </c>
      <c r="AX828" s="1" t="s">
        <v>74</v>
      </c>
      <c r="AY828" s="1" t="s">
        <v>74</v>
      </c>
      <c r="AZ828" s="1" t="s">
        <v>74</v>
      </c>
      <c r="BA828" s="1" t="s">
        <v>74</v>
      </c>
      <c r="BB828" s="1">
        <v>14128.0</v>
      </c>
      <c r="BC828" s="1">
        <v>14137.0</v>
      </c>
      <c r="BD828" s="1" t="s">
        <v>74</v>
      </c>
      <c r="BE828" s="1" t="s">
        <v>8278</v>
      </c>
      <c r="BF828" s="2" t="str">
        <f>HYPERLINK("http://dx.doi.org/10.1039/c9dt01726g","http://dx.doi.org/10.1039/c9dt01726g")</f>
        <v>http://dx.doi.org/10.1039/c9dt01726g</v>
      </c>
      <c r="BG828" s="1" t="s">
        <v>74</v>
      </c>
      <c r="BH828" s="1" t="s">
        <v>74</v>
      </c>
      <c r="BI828" s="1" t="s">
        <v>74</v>
      </c>
      <c r="BJ828" s="1" t="s">
        <v>74</v>
      </c>
      <c r="BK828" s="1" t="s">
        <v>74</v>
      </c>
      <c r="BL828" s="1" t="s">
        <v>74</v>
      </c>
      <c r="BM828" s="1" t="s">
        <v>74</v>
      </c>
      <c r="BN828" s="1">
        <v>3.1498349E7</v>
      </c>
      <c r="BO828" s="1" t="s">
        <v>74</v>
      </c>
      <c r="BP828" s="1" t="s">
        <v>74</v>
      </c>
      <c r="BQ828" s="1" t="s">
        <v>74</v>
      </c>
      <c r="BR828" s="1" t="s">
        <v>74</v>
      </c>
      <c r="BS828" s="1" t="s">
        <v>8279</v>
      </c>
      <c r="BT828" s="1" t="str">
        <f>HYPERLINK("https%3A%2F%2Fwww.webofscience.com%2Fwos%2Fwoscc%2Ffull-record%2FWOS:000487514400026","View Full Record in Web of Science")</f>
        <v>View Full Record in Web of Science</v>
      </c>
    </row>
    <row r="829" ht="12.75" customHeight="1">
      <c r="A829" s="1" t="s">
        <v>72</v>
      </c>
      <c r="B829" s="1" t="s">
        <v>8280</v>
      </c>
      <c r="C829" s="1" t="s">
        <v>74</v>
      </c>
      <c r="D829" s="1" t="s">
        <v>74</v>
      </c>
      <c r="E829" s="1" t="s">
        <v>74</v>
      </c>
      <c r="F829" s="1" t="s">
        <v>8281</v>
      </c>
      <c r="G829" s="1" t="s">
        <v>74</v>
      </c>
      <c r="H829" s="1" t="s">
        <v>74</v>
      </c>
      <c r="I829" s="1" t="s">
        <v>8282</v>
      </c>
      <c r="J829" s="1" t="s">
        <v>2479</v>
      </c>
      <c r="K829" s="1" t="s">
        <v>74</v>
      </c>
      <c r="L829" s="1" t="s">
        <v>74</v>
      </c>
      <c r="M829" s="1" t="s">
        <v>74</v>
      </c>
      <c r="N829" s="1" t="s">
        <v>74</v>
      </c>
      <c r="O829" s="1" t="s">
        <v>74</v>
      </c>
      <c r="P829" s="1" t="s">
        <v>74</v>
      </c>
      <c r="Q829" s="1" t="s">
        <v>74</v>
      </c>
      <c r="R829" s="1" t="s">
        <v>74</v>
      </c>
      <c r="S829" s="1" t="s">
        <v>74</v>
      </c>
      <c r="T829" s="1" t="s">
        <v>74</v>
      </c>
      <c r="U829" s="1" t="s">
        <v>74</v>
      </c>
      <c r="V829" s="1" t="s">
        <v>74</v>
      </c>
      <c r="W829" s="1" t="s">
        <v>74</v>
      </c>
      <c r="X829" s="1" t="s">
        <v>74</v>
      </c>
      <c r="Y829" s="1" t="s">
        <v>74</v>
      </c>
      <c r="Z829" s="1" t="s">
        <v>74</v>
      </c>
      <c r="AA829" s="1" t="s">
        <v>8283</v>
      </c>
      <c r="AB829" s="1" t="s">
        <v>8284</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74</v>
      </c>
      <c r="AP829" s="1" t="s">
        <v>2483</v>
      </c>
      <c r="AQ829" s="1" t="s">
        <v>74</v>
      </c>
      <c r="AR829" s="1" t="s">
        <v>74</v>
      </c>
      <c r="AS829" s="1" t="s">
        <v>74</v>
      </c>
      <c r="AT829" s="1" t="s">
        <v>485</v>
      </c>
      <c r="AU829" s="1">
        <v>2021.0</v>
      </c>
      <c r="AV829" s="1">
        <v>12.0</v>
      </c>
      <c r="AW829" s="1" t="s">
        <v>74</v>
      </c>
      <c r="AX829" s="1" t="s">
        <v>74</v>
      </c>
      <c r="AY829" s="1" t="s">
        <v>74</v>
      </c>
      <c r="AZ829" s="1" t="s">
        <v>74</v>
      </c>
      <c r="BA829" s="1" t="s">
        <v>74</v>
      </c>
      <c r="BB829" s="1" t="s">
        <v>74</v>
      </c>
      <c r="BC829" s="1" t="s">
        <v>74</v>
      </c>
      <c r="BD829" s="1">
        <v>798674.0</v>
      </c>
      <c r="BE829" s="1" t="s">
        <v>8285</v>
      </c>
      <c r="BF829" s="2" t="str">
        <f>HYPERLINK("http://dx.doi.org/10.3389/fphar.2021.798674","http://dx.doi.org/10.3389/fphar.2021.798674")</f>
        <v>http://dx.doi.org/10.3389/fphar.2021.798674</v>
      </c>
      <c r="BG829" s="1" t="s">
        <v>74</v>
      </c>
      <c r="BH829" s="1" t="s">
        <v>74</v>
      </c>
      <c r="BI829" s="1" t="s">
        <v>74</v>
      </c>
      <c r="BJ829" s="1" t="s">
        <v>74</v>
      </c>
      <c r="BK829" s="1" t="s">
        <v>74</v>
      </c>
      <c r="BL829" s="1" t="s">
        <v>74</v>
      </c>
      <c r="BM829" s="1" t="s">
        <v>74</v>
      </c>
      <c r="BN829" s="1">
        <v>3.4925048E7</v>
      </c>
      <c r="BO829" s="1" t="s">
        <v>74</v>
      </c>
      <c r="BP829" s="1" t="s">
        <v>74</v>
      </c>
      <c r="BQ829" s="1" t="s">
        <v>74</v>
      </c>
      <c r="BR829" s="1" t="s">
        <v>74</v>
      </c>
      <c r="BS829" s="1" t="s">
        <v>8286</v>
      </c>
      <c r="BT829" s="1" t="str">
        <f>HYPERLINK("https%3A%2F%2Fwww.webofscience.com%2Fwos%2Fwoscc%2Ffull-record%2FWOS:000761099600001","View Full Record in Web of Science")</f>
        <v>View Full Record in Web of Science</v>
      </c>
    </row>
    <row r="830" ht="12.75" customHeight="1">
      <c r="A830" s="1" t="s">
        <v>72</v>
      </c>
      <c r="B830" s="1" t="s">
        <v>8287</v>
      </c>
      <c r="C830" s="1" t="s">
        <v>74</v>
      </c>
      <c r="D830" s="1" t="s">
        <v>74</v>
      </c>
      <c r="E830" s="1" t="s">
        <v>74</v>
      </c>
      <c r="F830" s="1" t="s">
        <v>8288</v>
      </c>
      <c r="G830" s="1" t="s">
        <v>74</v>
      </c>
      <c r="H830" s="1" t="s">
        <v>74</v>
      </c>
      <c r="I830" s="1" t="s">
        <v>8289</v>
      </c>
      <c r="J830" s="1" t="s">
        <v>871</v>
      </c>
      <c r="K830" s="1" t="s">
        <v>74</v>
      </c>
      <c r="L830" s="1" t="s">
        <v>74</v>
      </c>
      <c r="M830" s="1" t="s">
        <v>74</v>
      </c>
      <c r="N830" s="1" t="s">
        <v>74</v>
      </c>
      <c r="O830" s="1" t="s">
        <v>74</v>
      </c>
      <c r="P830" s="1" t="s">
        <v>74</v>
      </c>
      <c r="Q830" s="1" t="s">
        <v>74</v>
      </c>
      <c r="R830" s="1" t="s">
        <v>74</v>
      </c>
      <c r="S830" s="1" t="s">
        <v>74</v>
      </c>
      <c r="T830" s="1" t="s">
        <v>74</v>
      </c>
      <c r="U830" s="1" t="s">
        <v>74</v>
      </c>
      <c r="V830" s="1" t="s">
        <v>8290</v>
      </c>
      <c r="W830" s="1" t="s">
        <v>74</v>
      </c>
      <c r="X830" s="1" t="s">
        <v>74</v>
      </c>
      <c r="Y830" s="1" t="s">
        <v>74</v>
      </c>
      <c r="Z830" s="1" t="s">
        <v>74</v>
      </c>
      <c r="AA830" s="1" t="s">
        <v>8291</v>
      </c>
      <c r="AB830" s="1" t="s">
        <v>8292</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74</v>
      </c>
      <c r="AP830" s="1" t="s">
        <v>875</v>
      </c>
      <c r="AQ830" s="1" t="s">
        <v>74</v>
      </c>
      <c r="AR830" s="1" t="s">
        <v>74</v>
      </c>
      <c r="AS830" s="1" t="s">
        <v>74</v>
      </c>
      <c r="AT830" s="1" t="s">
        <v>447</v>
      </c>
      <c r="AU830" s="1">
        <v>2021.0</v>
      </c>
      <c r="AV830" s="1">
        <v>14.0</v>
      </c>
      <c r="AW830" s="1">
        <v>15.0</v>
      </c>
      <c r="AX830" s="1" t="s">
        <v>74</v>
      </c>
      <c r="AY830" s="1" t="s">
        <v>74</v>
      </c>
      <c r="AZ830" s="1" t="s">
        <v>74</v>
      </c>
      <c r="BA830" s="1" t="s">
        <v>74</v>
      </c>
      <c r="BB830" s="1" t="s">
        <v>74</v>
      </c>
      <c r="BC830" s="1" t="s">
        <v>74</v>
      </c>
      <c r="BD830" s="1">
        <v>4264.0</v>
      </c>
      <c r="BE830" s="1" t="s">
        <v>8293</v>
      </c>
      <c r="BF830" s="2" t="str">
        <f>HYPERLINK("http://dx.doi.org/10.3390/ma14154264","http://dx.doi.org/10.3390/ma14154264")</f>
        <v>http://dx.doi.org/10.3390/ma14154264</v>
      </c>
      <c r="BG830" s="1" t="s">
        <v>74</v>
      </c>
      <c r="BH830" s="1" t="s">
        <v>74</v>
      </c>
      <c r="BI830" s="1" t="s">
        <v>74</v>
      </c>
      <c r="BJ830" s="1" t="s">
        <v>74</v>
      </c>
      <c r="BK830" s="1" t="s">
        <v>74</v>
      </c>
      <c r="BL830" s="1" t="s">
        <v>74</v>
      </c>
      <c r="BM830" s="1" t="s">
        <v>74</v>
      </c>
      <c r="BN830" s="1">
        <v>3.4361457E7</v>
      </c>
      <c r="BO830" s="1" t="s">
        <v>74</v>
      </c>
      <c r="BP830" s="1" t="s">
        <v>74</v>
      </c>
      <c r="BQ830" s="1" t="s">
        <v>74</v>
      </c>
      <c r="BR830" s="1" t="s">
        <v>74</v>
      </c>
      <c r="BS830" s="1" t="s">
        <v>8294</v>
      </c>
      <c r="BT830" s="1" t="str">
        <f>HYPERLINK("https%3A%2F%2Fwww.webofscience.com%2Fwos%2Fwoscc%2Ffull-record%2FWOS:000682033200001","View Full Record in Web of Science")</f>
        <v>View Full Record in Web of Science</v>
      </c>
    </row>
    <row r="831" ht="12.75" customHeight="1">
      <c r="A831" s="1" t="s">
        <v>72</v>
      </c>
      <c r="B831" s="1" t="s">
        <v>8295</v>
      </c>
      <c r="C831" s="1" t="s">
        <v>74</v>
      </c>
      <c r="D831" s="1" t="s">
        <v>74</v>
      </c>
      <c r="E831" s="1" t="s">
        <v>74</v>
      </c>
      <c r="F831" s="1" t="s">
        <v>8296</v>
      </c>
      <c r="G831" s="1" t="s">
        <v>74</v>
      </c>
      <c r="H831" s="1" t="s">
        <v>74</v>
      </c>
      <c r="I831" s="1" t="s">
        <v>8297</v>
      </c>
      <c r="J831" s="1" t="s">
        <v>1024</v>
      </c>
      <c r="K831" s="1" t="s">
        <v>74</v>
      </c>
      <c r="L831" s="1" t="s">
        <v>74</v>
      </c>
      <c r="M831" s="1" t="s">
        <v>74</v>
      </c>
      <c r="N831" s="1" t="s">
        <v>74</v>
      </c>
      <c r="O831" s="1" t="s">
        <v>74</v>
      </c>
      <c r="P831" s="1" t="s">
        <v>74</v>
      </c>
      <c r="Q831" s="1" t="s">
        <v>74</v>
      </c>
      <c r="R831" s="1" t="s">
        <v>74</v>
      </c>
      <c r="S831" s="1" t="s">
        <v>74</v>
      </c>
      <c r="T831" s="1" t="s">
        <v>74</v>
      </c>
      <c r="U831" s="1" t="s">
        <v>74</v>
      </c>
      <c r="V831" s="1" t="s">
        <v>8298</v>
      </c>
      <c r="W831" s="1" t="s">
        <v>74</v>
      </c>
      <c r="X831" s="1" t="s">
        <v>74</v>
      </c>
      <c r="Y831" s="1" t="s">
        <v>74</v>
      </c>
      <c r="Z831" s="1" t="s">
        <v>74</v>
      </c>
      <c r="AA831" s="1" t="s">
        <v>8299</v>
      </c>
      <c r="AB831" s="1" t="s">
        <v>8300</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1028</v>
      </c>
      <c r="AP831" s="1" t="s">
        <v>1029</v>
      </c>
      <c r="AQ831" s="1" t="s">
        <v>74</v>
      </c>
      <c r="AR831" s="1" t="s">
        <v>74</v>
      </c>
      <c r="AS831" s="1" t="s">
        <v>74</v>
      </c>
      <c r="AT831" s="1" t="s">
        <v>239</v>
      </c>
      <c r="AU831" s="1">
        <v>2021.0</v>
      </c>
      <c r="AV831" s="1">
        <v>503.0</v>
      </c>
      <c r="AW831" s="1">
        <v>3.0</v>
      </c>
      <c r="AX831" s="1" t="s">
        <v>74</v>
      </c>
      <c r="AY831" s="1" t="s">
        <v>74</v>
      </c>
      <c r="AZ831" s="1" t="s">
        <v>74</v>
      </c>
      <c r="BA831" s="1" t="s">
        <v>74</v>
      </c>
      <c r="BB831" s="1">
        <v>3134.0</v>
      </c>
      <c r="BC831" s="1">
        <v>3144.0</v>
      </c>
      <c r="BD831" s="1" t="s">
        <v>74</v>
      </c>
      <c r="BE831" s="1" t="s">
        <v>8301</v>
      </c>
      <c r="BF831" s="2" t="str">
        <f>HYPERLINK("http://dx.doi.org/10.1093/mnras/stab075","http://dx.doi.org/10.1093/mnras/stab075")</f>
        <v>http://dx.doi.org/10.1093/mnras/stab075</v>
      </c>
      <c r="BG831" s="1" t="s">
        <v>74</v>
      </c>
      <c r="BH831" s="1" t="s">
        <v>241</v>
      </c>
      <c r="BI831" s="1" t="s">
        <v>74</v>
      </c>
      <c r="BJ831" s="1" t="s">
        <v>74</v>
      </c>
      <c r="BK831" s="1" t="s">
        <v>74</v>
      </c>
      <c r="BL831" s="1" t="s">
        <v>74</v>
      </c>
      <c r="BM831" s="1" t="s">
        <v>74</v>
      </c>
      <c r="BN831" s="1" t="s">
        <v>74</v>
      </c>
      <c r="BO831" s="1" t="s">
        <v>74</v>
      </c>
      <c r="BP831" s="1" t="s">
        <v>74</v>
      </c>
      <c r="BQ831" s="1" t="s">
        <v>74</v>
      </c>
      <c r="BR831" s="1" t="s">
        <v>74</v>
      </c>
      <c r="BS831" s="1" t="s">
        <v>8302</v>
      </c>
      <c r="BT831" s="1" t="str">
        <f>HYPERLINK("https%3A%2F%2Fwww.webofscience.com%2Fwos%2Fwoscc%2Ffull-record%2FWOS:000649000600002","View Full Record in Web of Science")</f>
        <v>View Full Record in Web of Science</v>
      </c>
    </row>
    <row r="832" ht="12.75" customHeight="1">
      <c r="A832" s="1" t="s">
        <v>72</v>
      </c>
      <c r="B832" s="1" t="s">
        <v>8303</v>
      </c>
      <c r="C832" s="1" t="s">
        <v>74</v>
      </c>
      <c r="D832" s="1" t="s">
        <v>74</v>
      </c>
      <c r="E832" s="1" t="s">
        <v>74</v>
      </c>
      <c r="F832" s="1" t="s">
        <v>8304</v>
      </c>
      <c r="G832" s="1" t="s">
        <v>74</v>
      </c>
      <c r="H832" s="1" t="s">
        <v>74</v>
      </c>
      <c r="I832" s="1" t="s">
        <v>8305</v>
      </c>
      <c r="J832" s="1" t="s">
        <v>2909</v>
      </c>
      <c r="K832" s="1" t="s">
        <v>74</v>
      </c>
      <c r="L832" s="1" t="s">
        <v>74</v>
      </c>
      <c r="M832" s="1" t="s">
        <v>74</v>
      </c>
      <c r="N832" s="1" t="s">
        <v>74</v>
      </c>
      <c r="O832" s="1" t="s">
        <v>74</v>
      </c>
      <c r="P832" s="1" t="s">
        <v>74</v>
      </c>
      <c r="Q832" s="1" t="s">
        <v>74</v>
      </c>
      <c r="R832" s="1" t="s">
        <v>74</v>
      </c>
      <c r="S832" s="1" t="s">
        <v>74</v>
      </c>
      <c r="T832" s="1" t="s">
        <v>74</v>
      </c>
      <c r="U832" s="1" t="s">
        <v>74</v>
      </c>
      <c r="V832" s="1" t="s">
        <v>8306</v>
      </c>
      <c r="W832" s="1" t="s">
        <v>74</v>
      </c>
      <c r="X832" s="1" t="s">
        <v>74</v>
      </c>
      <c r="Y832" s="1" t="s">
        <v>74</v>
      </c>
      <c r="Z832" s="1" t="s">
        <v>74</v>
      </c>
      <c r="AA832" s="1" t="s">
        <v>8307</v>
      </c>
      <c r="AB832" s="1" t="s">
        <v>8308</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2912</v>
      </c>
      <c r="AP832" s="1" t="s">
        <v>74</v>
      </c>
      <c r="AQ832" s="1" t="s">
        <v>74</v>
      </c>
      <c r="AR832" s="1" t="s">
        <v>74</v>
      </c>
      <c r="AS832" s="1" t="s">
        <v>74</v>
      </c>
      <c r="AT832" s="1" t="s">
        <v>6368</v>
      </c>
      <c r="AU832" s="1">
        <v>2019.0</v>
      </c>
      <c r="AV832" s="1">
        <v>10.0</v>
      </c>
      <c r="AW832" s="1" t="s">
        <v>74</v>
      </c>
      <c r="AX832" s="1" t="s">
        <v>74</v>
      </c>
      <c r="AY832" s="1" t="s">
        <v>74</v>
      </c>
      <c r="AZ832" s="1" t="s">
        <v>74</v>
      </c>
      <c r="BA832" s="1" t="s">
        <v>74</v>
      </c>
      <c r="BB832" s="1" t="s">
        <v>74</v>
      </c>
      <c r="BC832" s="1" t="s">
        <v>74</v>
      </c>
      <c r="BD832" s="1">
        <v>664.0</v>
      </c>
      <c r="BE832" s="1" t="s">
        <v>8309</v>
      </c>
      <c r="BF832" s="2" t="str">
        <f>HYPERLINK("http://dx.doi.org/10.3389/fpsyt.2019.00664","http://dx.doi.org/10.3389/fpsyt.2019.00664")</f>
        <v>http://dx.doi.org/10.3389/fpsyt.2019.00664</v>
      </c>
      <c r="BG832" s="1" t="s">
        <v>74</v>
      </c>
      <c r="BH832" s="1" t="s">
        <v>74</v>
      </c>
      <c r="BI832" s="1" t="s">
        <v>74</v>
      </c>
      <c r="BJ832" s="1" t="s">
        <v>74</v>
      </c>
      <c r="BK832" s="1" t="s">
        <v>74</v>
      </c>
      <c r="BL832" s="1" t="s">
        <v>74</v>
      </c>
      <c r="BM832" s="1" t="s">
        <v>74</v>
      </c>
      <c r="BN832" s="1">
        <v>3.1572242E7</v>
      </c>
      <c r="BO832" s="1" t="s">
        <v>74</v>
      </c>
      <c r="BP832" s="1" t="s">
        <v>74</v>
      </c>
      <c r="BQ832" s="1" t="s">
        <v>74</v>
      </c>
      <c r="BR832" s="1" t="s">
        <v>74</v>
      </c>
      <c r="BS832" s="1" t="s">
        <v>8310</v>
      </c>
      <c r="BT832" s="1" t="str">
        <f>HYPERLINK("https%3A%2F%2Fwww.webofscience.com%2Fwos%2Fwoscc%2Ffull-record%2FWOS:000485693300001","View Full Record in Web of Science")</f>
        <v>View Full Record in Web of Science</v>
      </c>
    </row>
    <row r="833" ht="12.75" customHeight="1">
      <c r="A833" s="1" t="s">
        <v>72</v>
      </c>
      <c r="B833" s="1" t="s">
        <v>8311</v>
      </c>
      <c r="C833" s="1" t="s">
        <v>74</v>
      </c>
      <c r="D833" s="1" t="s">
        <v>74</v>
      </c>
      <c r="E833" s="1" t="s">
        <v>74</v>
      </c>
      <c r="F833" s="1" t="s">
        <v>8312</v>
      </c>
      <c r="G833" s="1" t="s">
        <v>74</v>
      </c>
      <c r="H833" s="1" t="s">
        <v>74</v>
      </c>
      <c r="I833" s="1" t="s">
        <v>8313</v>
      </c>
      <c r="J833" s="1" t="s">
        <v>1024</v>
      </c>
      <c r="K833" s="1" t="s">
        <v>74</v>
      </c>
      <c r="L833" s="1" t="s">
        <v>74</v>
      </c>
      <c r="M833" s="1" t="s">
        <v>74</v>
      </c>
      <c r="N833" s="1" t="s">
        <v>74</v>
      </c>
      <c r="O833" s="1" t="s">
        <v>74</v>
      </c>
      <c r="P833" s="1" t="s">
        <v>74</v>
      </c>
      <c r="Q833" s="1" t="s">
        <v>74</v>
      </c>
      <c r="R833" s="1" t="s">
        <v>74</v>
      </c>
      <c r="S833" s="1" t="s">
        <v>74</v>
      </c>
      <c r="T833" s="1" t="s">
        <v>74</v>
      </c>
      <c r="U833" s="1" t="s">
        <v>74</v>
      </c>
      <c r="V833" s="1" t="s">
        <v>8314</v>
      </c>
      <c r="W833" s="1" t="s">
        <v>74</v>
      </c>
      <c r="X833" s="1" t="s">
        <v>74</v>
      </c>
      <c r="Y833" s="1" t="s">
        <v>74</v>
      </c>
      <c r="Z833" s="1" t="s">
        <v>74</v>
      </c>
      <c r="AA833" s="1" t="s">
        <v>8315</v>
      </c>
      <c r="AB833" s="1" t="s">
        <v>8316</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1028</v>
      </c>
      <c r="AP833" s="1" t="s">
        <v>1029</v>
      </c>
      <c r="AQ833" s="1" t="s">
        <v>74</v>
      </c>
      <c r="AR833" s="1" t="s">
        <v>74</v>
      </c>
      <c r="AS833" s="1" t="s">
        <v>74</v>
      </c>
      <c r="AT833" s="1" t="s">
        <v>745</v>
      </c>
      <c r="AU833" s="1">
        <v>2018.0</v>
      </c>
      <c r="AV833" s="1">
        <v>477.0</v>
      </c>
      <c r="AW833" s="1">
        <v>4.0</v>
      </c>
      <c r="AX833" s="1" t="s">
        <v>74</v>
      </c>
      <c r="AY833" s="1" t="s">
        <v>74</v>
      </c>
      <c r="AZ833" s="1" t="s">
        <v>74</v>
      </c>
      <c r="BA833" s="1" t="s">
        <v>74</v>
      </c>
      <c r="BB833" s="1">
        <v>5104.0</v>
      </c>
      <c r="BC833" s="1">
        <v>5114.0</v>
      </c>
      <c r="BD833" s="1" t="s">
        <v>74</v>
      </c>
      <c r="BE833" s="1" t="s">
        <v>8317</v>
      </c>
      <c r="BF833" s="2" t="str">
        <f>HYPERLINK("http://dx.doi.org/10.1093/mnras/sty894","http://dx.doi.org/10.1093/mnras/sty894")</f>
        <v>http://dx.doi.org/10.1093/mnras/sty894</v>
      </c>
      <c r="BG833" s="1" t="s">
        <v>74</v>
      </c>
      <c r="BH833" s="1" t="s">
        <v>74</v>
      </c>
      <c r="BI833" s="1" t="s">
        <v>74</v>
      </c>
      <c r="BJ833" s="1" t="s">
        <v>74</v>
      </c>
      <c r="BK833" s="1" t="s">
        <v>74</v>
      </c>
      <c r="BL833" s="1" t="s">
        <v>74</v>
      </c>
      <c r="BM833" s="1" t="s">
        <v>74</v>
      </c>
      <c r="BN833" s="1" t="s">
        <v>74</v>
      </c>
      <c r="BO833" s="1" t="s">
        <v>74</v>
      </c>
      <c r="BP833" s="1" t="s">
        <v>74</v>
      </c>
      <c r="BQ833" s="1" t="s">
        <v>74</v>
      </c>
      <c r="BR833" s="1" t="s">
        <v>74</v>
      </c>
      <c r="BS833" s="1" t="s">
        <v>8318</v>
      </c>
      <c r="BT833" s="1" t="str">
        <f>HYPERLINK("https%3A%2F%2Fwww.webofscience.com%2Fwos%2Fwoscc%2Ffull-record%2FWOS:000435630100062","View Full Record in Web of Science")</f>
        <v>View Full Record in Web of Science</v>
      </c>
    </row>
    <row r="834" ht="12.75" customHeight="1">
      <c r="A834" s="1" t="s">
        <v>72</v>
      </c>
      <c r="B834" s="1" t="s">
        <v>8319</v>
      </c>
      <c r="C834" s="1" t="s">
        <v>74</v>
      </c>
      <c r="D834" s="1" t="s">
        <v>74</v>
      </c>
      <c r="E834" s="1" t="s">
        <v>74</v>
      </c>
      <c r="F834" s="1" t="s">
        <v>8320</v>
      </c>
      <c r="G834" s="1" t="s">
        <v>74</v>
      </c>
      <c r="H834" s="1" t="s">
        <v>74</v>
      </c>
      <c r="I834" s="1" t="s">
        <v>8321</v>
      </c>
      <c r="J834" s="1" t="s">
        <v>1441</v>
      </c>
      <c r="K834" s="1" t="s">
        <v>74</v>
      </c>
      <c r="L834" s="1" t="s">
        <v>74</v>
      </c>
      <c r="M834" s="1" t="s">
        <v>74</v>
      </c>
      <c r="N834" s="1" t="s">
        <v>74</v>
      </c>
      <c r="O834" s="1" t="s">
        <v>74</v>
      </c>
      <c r="P834" s="1" t="s">
        <v>74</v>
      </c>
      <c r="Q834" s="1" t="s">
        <v>74</v>
      </c>
      <c r="R834" s="1" t="s">
        <v>74</v>
      </c>
      <c r="S834" s="1" t="s">
        <v>74</v>
      </c>
      <c r="T834" s="1" t="s">
        <v>74</v>
      </c>
      <c r="U834" s="1" t="s">
        <v>74</v>
      </c>
      <c r="V834" s="1" t="s">
        <v>8322</v>
      </c>
      <c r="W834" s="1" t="s">
        <v>74</v>
      </c>
      <c r="X834" s="1" t="s">
        <v>74</v>
      </c>
      <c r="Y834" s="1" t="s">
        <v>74</v>
      </c>
      <c r="Z834" s="1" t="s">
        <v>74</v>
      </c>
      <c r="AA834" s="1" t="s">
        <v>8323</v>
      </c>
      <c r="AB834" s="1" t="s">
        <v>8324</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1445</v>
      </c>
      <c r="AP834" s="1" t="s">
        <v>1446</v>
      </c>
      <c r="AQ834" s="1" t="s">
        <v>74</v>
      </c>
      <c r="AR834" s="1" t="s">
        <v>74</v>
      </c>
      <c r="AS834" s="1" t="s">
        <v>74</v>
      </c>
      <c r="AT834" s="1" t="s">
        <v>6207</v>
      </c>
      <c r="AU834" s="1">
        <v>2024.0</v>
      </c>
      <c r="AV834" s="1">
        <v>966.0</v>
      </c>
      <c r="AW834" s="1">
        <v>1.0</v>
      </c>
      <c r="AX834" s="1" t="s">
        <v>74</v>
      </c>
      <c r="AY834" s="1" t="s">
        <v>74</v>
      </c>
      <c r="AZ834" s="1" t="s">
        <v>74</v>
      </c>
      <c r="BA834" s="1" t="s">
        <v>74</v>
      </c>
      <c r="BB834" s="1" t="s">
        <v>74</v>
      </c>
      <c r="BC834" s="1" t="s">
        <v>74</v>
      </c>
      <c r="BD834" s="1">
        <v>96.0</v>
      </c>
      <c r="BE834" s="1" t="s">
        <v>8325</v>
      </c>
      <c r="BF834" s="2" t="str">
        <f>HYPERLINK("http://dx.doi.org/10.3847/1538-4357/ad31a1","http://dx.doi.org/10.3847/1538-4357/ad31a1")</f>
        <v>http://dx.doi.org/10.3847/1538-4357/ad31a1</v>
      </c>
      <c r="BG834" s="1" t="s">
        <v>74</v>
      </c>
      <c r="BH834" s="1" t="s">
        <v>74</v>
      </c>
      <c r="BI834" s="1" t="s">
        <v>74</v>
      </c>
      <c r="BJ834" s="1" t="s">
        <v>74</v>
      </c>
      <c r="BK834" s="1" t="s">
        <v>74</v>
      </c>
      <c r="BL834" s="1" t="s">
        <v>74</v>
      </c>
      <c r="BM834" s="1" t="s">
        <v>74</v>
      </c>
      <c r="BN834" s="1" t="s">
        <v>74</v>
      </c>
      <c r="BO834" s="1" t="s">
        <v>74</v>
      </c>
      <c r="BP834" s="1" t="s">
        <v>74</v>
      </c>
      <c r="BQ834" s="1" t="s">
        <v>74</v>
      </c>
      <c r="BR834" s="1" t="s">
        <v>74</v>
      </c>
      <c r="BS834" s="1" t="s">
        <v>8326</v>
      </c>
      <c r="BT834" s="1" t="str">
        <f>HYPERLINK("https%3A%2F%2Fwww.webofscience.com%2Fwos%2Fwoscc%2Ffull-record%2FWOS:001209436500001","View Full Record in Web of Science")</f>
        <v>View Full Record in Web of Science</v>
      </c>
    </row>
    <row r="835" ht="12.75" customHeight="1">
      <c r="A835" s="1" t="s">
        <v>72</v>
      </c>
      <c r="B835" s="1" t="s">
        <v>8327</v>
      </c>
      <c r="C835" s="1" t="s">
        <v>74</v>
      </c>
      <c r="D835" s="1" t="s">
        <v>74</v>
      </c>
      <c r="E835" s="1" t="s">
        <v>74</v>
      </c>
      <c r="F835" s="1" t="s">
        <v>8328</v>
      </c>
      <c r="G835" s="1" t="s">
        <v>74</v>
      </c>
      <c r="H835" s="1" t="s">
        <v>74</v>
      </c>
      <c r="I835" s="1" t="s">
        <v>8329</v>
      </c>
      <c r="J835" s="1" t="s">
        <v>6628</v>
      </c>
      <c r="K835" s="1" t="s">
        <v>74</v>
      </c>
      <c r="L835" s="1" t="s">
        <v>74</v>
      </c>
      <c r="M835" s="1" t="s">
        <v>74</v>
      </c>
      <c r="N835" s="1" t="s">
        <v>74</v>
      </c>
      <c r="O835" s="1" t="s">
        <v>74</v>
      </c>
      <c r="P835" s="1" t="s">
        <v>74</v>
      </c>
      <c r="Q835" s="1" t="s">
        <v>74</v>
      </c>
      <c r="R835" s="1" t="s">
        <v>74</v>
      </c>
      <c r="S835" s="1" t="s">
        <v>74</v>
      </c>
      <c r="T835" s="1" t="s">
        <v>74</v>
      </c>
      <c r="U835" s="1" t="s">
        <v>74</v>
      </c>
      <c r="V835" s="1" t="s">
        <v>8330</v>
      </c>
      <c r="W835" s="1" t="s">
        <v>74</v>
      </c>
      <c r="X835" s="1" t="s">
        <v>74</v>
      </c>
      <c r="Y835" s="1" t="s">
        <v>74</v>
      </c>
      <c r="Z835" s="1" t="s">
        <v>74</v>
      </c>
      <c r="AA835" s="1" t="s">
        <v>8331</v>
      </c>
      <c r="AB835" s="1" t="s">
        <v>8332</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6632</v>
      </c>
      <c r="AP835" s="1" t="s">
        <v>6633</v>
      </c>
      <c r="AQ835" s="1" t="s">
        <v>74</v>
      </c>
      <c r="AR835" s="1" t="s">
        <v>74</v>
      </c>
      <c r="AS835" s="1" t="s">
        <v>74</v>
      </c>
      <c r="AT835" s="1" t="s">
        <v>106</v>
      </c>
      <c r="AU835" s="1">
        <v>2020.0</v>
      </c>
      <c r="AV835" s="1">
        <v>903.0</v>
      </c>
      <c r="AW835" s="1">
        <v>1.0</v>
      </c>
      <c r="AX835" s="1" t="s">
        <v>74</v>
      </c>
      <c r="AY835" s="1" t="s">
        <v>74</v>
      </c>
      <c r="AZ835" s="1" t="s">
        <v>74</v>
      </c>
      <c r="BA835" s="1" t="s">
        <v>74</v>
      </c>
      <c r="BB835" s="1" t="s">
        <v>74</v>
      </c>
      <c r="BC835" s="1" t="s">
        <v>74</v>
      </c>
      <c r="BD835" s="1" t="s">
        <v>8333</v>
      </c>
      <c r="BE835" s="1" t="s">
        <v>8334</v>
      </c>
      <c r="BF835" s="2" t="str">
        <f>HYPERLINK("http://dx.doi.org/10.3847/2041-8213/abc0e8","http://dx.doi.org/10.3847/2041-8213/abc0e8")</f>
        <v>http://dx.doi.org/10.3847/2041-8213/abc0e8</v>
      </c>
      <c r="BG835" s="1" t="s">
        <v>74</v>
      </c>
      <c r="BH835" s="1" t="s">
        <v>74</v>
      </c>
      <c r="BI835" s="1" t="s">
        <v>74</v>
      </c>
      <c r="BJ835" s="1" t="s">
        <v>74</v>
      </c>
      <c r="BK835" s="1" t="s">
        <v>74</v>
      </c>
      <c r="BL835" s="1" t="s">
        <v>74</v>
      </c>
      <c r="BM835" s="1" t="s">
        <v>74</v>
      </c>
      <c r="BN835" s="1" t="s">
        <v>74</v>
      </c>
      <c r="BO835" s="1" t="s">
        <v>74</v>
      </c>
      <c r="BP835" s="1" t="s">
        <v>74</v>
      </c>
      <c r="BQ835" s="1" t="s">
        <v>74</v>
      </c>
      <c r="BR835" s="1" t="s">
        <v>74</v>
      </c>
      <c r="BS835" s="1" t="s">
        <v>8335</v>
      </c>
      <c r="BT835" s="1" t="str">
        <f>HYPERLINK("https%3A%2F%2Fwww.webofscience.com%2Fwos%2Fwoscc%2Ffull-record%2FWOS:000584294100001","View Full Record in Web of Science")</f>
        <v>View Full Record in Web of Science</v>
      </c>
    </row>
    <row r="836" ht="12.75" customHeight="1">
      <c r="A836" s="1" t="s">
        <v>72</v>
      </c>
      <c r="B836" s="1" t="s">
        <v>8336</v>
      </c>
      <c r="C836" s="1" t="s">
        <v>74</v>
      </c>
      <c r="D836" s="1" t="s">
        <v>74</v>
      </c>
      <c r="E836" s="1" t="s">
        <v>74</v>
      </c>
      <c r="F836" s="1" t="s">
        <v>8337</v>
      </c>
      <c r="G836" s="1" t="s">
        <v>74</v>
      </c>
      <c r="H836" s="1" t="s">
        <v>8338</v>
      </c>
      <c r="I836" s="1" t="s">
        <v>8339</v>
      </c>
      <c r="J836" s="1" t="s">
        <v>1057</v>
      </c>
      <c r="K836" s="1" t="s">
        <v>74</v>
      </c>
      <c r="L836" s="1" t="s">
        <v>74</v>
      </c>
      <c r="M836" s="1" t="s">
        <v>74</v>
      </c>
      <c r="N836" s="1" t="s">
        <v>74</v>
      </c>
      <c r="O836" s="1" t="s">
        <v>74</v>
      </c>
      <c r="P836" s="1" t="s">
        <v>74</v>
      </c>
      <c r="Q836" s="1" t="s">
        <v>74</v>
      </c>
      <c r="R836" s="1" t="s">
        <v>74</v>
      </c>
      <c r="S836" s="1" t="s">
        <v>74</v>
      </c>
      <c r="T836" s="1" t="s">
        <v>74</v>
      </c>
      <c r="U836" s="1" t="s">
        <v>74</v>
      </c>
      <c r="V836" s="1" t="s">
        <v>8340</v>
      </c>
      <c r="W836" s="1" t="s">
        <v>74</v>
      </c>
      <c r="X836" s="1" t="s">
        <v>74</v>
      </c>
      <c r="Y836" s="1" t="s">
        <v>74</v>
      </c>
      <c r="Z836" s="1" t="s">
        <v>74</v>
      </c>
      <c r="AA836" s="1" t="s">
        <v>8341</v>
      </c>
      <c r="AB836" s="1" t="s">
        <v>8342</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74</v>
      </c>
      <c r="AP836" s="1" t="s">
        <v>1061</v>
      </c>
      <c r="AQ836" s="1" t="s">
        <v>74</v>
      </c>
      <c r="AR836" s="1" t="s">
        <v>74</v>
      </c>
      <c r="AS836" s="1" t="s">
        <v>74</v>
      </c>
      <c r="AT836" s="1" t="s">
        <v>106</v>
      </c>
      <c r="AU836" s="1">
        <v>2021.0</v>
      </c>
      <c r="AV836" s="1">
        <v>18.0</v>
      </c>
      <c r="AW836" s="1">
        <v>22.0</v>
      </c>
      <c r="AX836" s="1" t="s">
        <v>74</v>
      </c>
      <c r="AY836" s="1" t="s">
        <v>74</v>
      </c>
      <c r="AZ836" s="1" t="s">
        <v>74</v>
      </c>
      <c r="BA836" s="1" t="s">
        <v>74</v>
      </c>
      <c r="BB836" s="1" t="s">
        <v>74</v>
      </c>
      <c r="BC836" s="1" t="s">
        <v>74</v>
      </c>
      <c r="BD836" s="1">
        <v>11975.0</v>
      </c>
      <c r="BE836" s="1" t="s">
        <v>8343</v>
      </c>
      <c r="BF836" s="2" t="str">
        <f>HYPERLINK("http://dx.doi.org/10.3390/ijerph182211975","http://dx.doi.org/10.3390/ijerph182211975")</f>
        <v>http://dx.doi.org/10.3390/ijerph182211975</v>
      </c>
      <c r="BG836" s="1" t="s">
        <v>74</v>
      </c>
      <c r="BH836" s="1" t="s">
        <v>74</v>
      </c>
      <c r="BI836" s="1" t="s">
        <v>74</v>
      </c>
      <c r="BJ836" s="1" t="s">
        <v>74</v>
      </c>
      <c r="BK836" s="1" t="s">
        <v>74</v>
      </c>
      <c r="BL836" s="1" t="s">
        <v>74</v>
      </c>
      <c r="BM836" s="1" t="s">
        <v>74</v>
      </c>
      <c r="BN836" s="1">
        <v>3.4831736E7</v>
      </c>
      <c r="BO836" s="1" t="s">
        <v>74</v>
      </c>
      <c r="BP836" s="1" t="s">
        <v>74</v>
      </c>
      <c r="BQ836" s="1" t="s">
        <v>74</v>
      </c>
      <c r="BR836" s="1" t="s">
        <v>74</v>
      </c>
      <c r="BS836" s="1" t="s">
        <v>8344</v>
      </c>
      <c r="BT836" s="1" t="str">
        <f>HYPERLINK("https%3A%2F%2Fwww.webofscience.com%2Fwos%2Fwoscc%2Ffull-record%2FWOS:000725179800001","View Full Record in Web of Science")</f>
        <v>View Full Record in Web of Science</v>
      </c>
    </row>
    <row r="837" ht="12.75" customHeight="1">
      <c r="A837" s="1" t="s">
        <v>72</v>
      </c>
      <c r="B837" s="1" t="s">
        <v>8345</v>
      </c>
      <c r="C837" s="1" t="s">
        <v>74</v>
      </c>
      <c r="D837" s="1" t="s">
        <v>74</v>
      </c>
      <c r="E837" s="1" t="s">
        <v>74</v>
      </c>
      <c r="F837" s="1" t="s">
        <v>8346</v>
      </c>
      <c r="G837" s="1" t="s">
        <v>74</v>
      </c>
      <c r="H837" s="1" t="s">
        <v>74</v>
      </c>
      <c r="I837" s="1" t="s">
        <v>8347</v>
      </c>
      <c r="J837" s="1" t="s">
        <v>562</v>
      </c>
      <c r="K837" s="1" t="s">
        <v>74</v>
      </c>
      <c r="L837" s="1" t="s">
        <v>74</v>
      </c>
      <c r="M837" s="1" t="s">
        <v>74</v>
      </c>
      <c r="N837" s="1" t="s">
        <v>74</v>
      </c>
      <c r="O837" s="1" t="s">
        <v>74</v>
      </c>
      <c r="P837" s="1" t="s">
        <v>74</v>
      </c>
      <c r="Q837" s="1" t="s">
        <v>74</v>
      </c>
      <c r="R837" s="1" t="s">
        <v>74</v>
      </c>
      <c r="S837" s="1" t="s">
        <v>74</v>
      </c>
      <c r="T837" s="1" t="s">
        <v>74</v>
      </c>
      <c r="U837" s="1" t="s">
        <v>74</v>
      </c>
      <c r="V837" s="1" t="s">
        <v>8348</v>
      </c>
      <c r="W837" s="1" t="s">
        <v>74</v>
      </c>
      <c r="X837" s="1" t="s">
        <v>74</v>
      </c>
      <c r="Y837" s="1" t="s">
        <v>74</v>
      </c>
      <c r="Z837" s="1" t="s">
        <v>74</v>
      </c>
      <c r="AA837" s="1" t="s">
        <v>8349</v>
      </c>
      <c r="AB837" s="1" t="s">
        <v>8350</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566</v>
      </c>
      <c r="AP837" s="1" t="s">
        <v>567</v>
      </c>
      <c r="AQ837" s="1" t="s">
        <v>74</v>
      </c>
      <c r="AR837" s="1" t="s">
        <v>74</v>
      </c>
      <c r="AS837" s="1" t="s">
        <v>74</v>
      </c>
      <c r="AT837" s="1" t="s">
        <v>74</v>
      </c>
      <c r="AU837" s="1">
        <v>2012.0</v>
      </c>
      <c r="AV837" s="1">
        <v>12.0</v>
      </c>
      <c r="AW837" s="1">
        <v>9.0</v>
      </c>
      <c r="AX837" s="1" t="s">
        <v>74</v>
      </c>
      <c r="AY837" s="1" t="s">
        <v>74</v>
      </c>
      <c r="AZ837" s="1" t="s">
        <v>74</v>
      </c>
      <c r="BA837" s="1" t="s">
        <v>74</v>
      </c>
      <c r="BB837" s="1">
        <v>4159.0</v>
      </c>
      <c r="BC837" s="1">
        <v>4179.0</v>
      </c>
      <c r="BD837" s="1" t="s">
        <v>74</v>
      </c>
      <c r="BE837" s="1" t="s">
        <v>8351</v>
      </c>
      <c r="BF837" s="2" t="str">
        <f>HYPERLINK("http://dx.doi.org/10.5194/acp-12-4159-2012","http://dx.doi.org/10.5194/acp-12-4159-2012")</f>
        <v>http://dx.doi.org/10.5194/acp-12-4159-2012</v>
      </c>
      <c r="BG837" s="1" t="s">
        <v>74</v>
      </c>
      <c r="BH837" s="1" t="s">
        <v>74</v>
      </c>
      <c r="BI837" s="1" t="s">
        <v>74</v>
      </c>
      <c r="BJ837" s="1" t="s">
        <v>74</v>
      </c>
      <c r="BK837" s="1" t="s">
        <v>74</v>
      </c>
      <c r="BL837" s="1" t="s">
        <v>74</v>
      </c>
      <c r="BM837" s="1" t="s">
        <v>74</v>
      </c>
      <c r="BN837" s="1" t="s">
        <v>74</v>
      </c>
      <c r="BO837" s="1" t="s">
        <v>74</v>
      </c>
      <c r="BP837" s="1" t="s">
        <v>74</v>
      </c>
      <c r="BQ837" s="1" t="s">
        <v>74</v>
      </c>
      <c r="BR837" s="1" t="s">
        <v>74</v>
      </c>
      <c r="BS837" s="1" t="s">
        <v>8352</v>
      </c>
      <c r="BT837" s="1" t="str">
        <f>HYPERLINK("https%3A%2F%2Fwww.webofscience.com%2Fwos%2Fwoscc%2Ffull-record%2FWOS:000304055600021","View Full Record in Web of Science")</f>
        <v>View Full Record in Web of Science</v>
      </c>
    </row>
    <row r="838" ht="12.75" customHeight="1">
      <c r="A838" s="1" t="s">
        <v>72</v>
      </c>
      <c r="B838" s="1" t="s">
        <v>8353</v>
      </c>
      <c r="C838" s="1" t="s">
        <v>74</v>
      </c>
      <c r="D838" s="1" t="s">
        <v>74</v>
      </c>
      <c r="E838" s="1" t="s">
        <v>74</v>
      </c>
      <c r="F838" s="1" t="s">
        <v>8354</v>
      </c>
      <c r="G838" s="1" t="s">
        <v>74</v>
      </c>
      <c r="H838" s="1" t="s">
        <v>74</v>
      </c>
      <c r="I838" s="1" t="s">
        <v>8355</v>
      </c>
      <c r="J838" s="1" t="s">
        <v>2731</v>
      </c>
      <c r="K838" s="1" t="s">
        <v>74</v>
      </c>
      <c r="L838" s="1" t="s">
        <v>74</v>
      </c>
      <c r="M838" s="1" t="s">
        <v>74</v>
      </c>
      <c r="N838" s="1" t="s">
        <v>74</v>
      </c>
      <c r="O838" s="1" t="s">
        <v>74</v>
      </c>
      <c r="P838" s="1" t="s">
        <v>74</v>
      </c>
      <c r="Q838" s="1" t="s">
        <v>74</v>
      </c>
      <c r="R838" s="1" t="s">
        <v>74</v>
      </c>
      <c r="S838" s="1" t="s">
        <v>74</v>
      </c>
      <c r="T838" s="1" t="s">
        <v>74</v>
      </c>
      <c r="U838" s="1" t="s">
        <v>74</v>
      </c>
      <c r="V838" s="1" t="s">
        <v>8356</v>
      </c>
      <c r="W838" s="1" t="s">
        <v>74</v>
      </c>
      <c r="X838" s="1" t="s">
        <v>74</v>
      </c>
      <c r="Y838" s="1" t="s">
        <v>74</v>
      </c>
      <c r="Z838" s="1" t="s">
        <v>74</v>
      </c>
      <c r="AA838" s="1" t="s">
        <v>8357</v>
      </c>
      <c r="AB838" s="1" t="s">
        <v>8358</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74</v>
      </c>
      <c r="AP838" s="1" t="s">
        <v>2735</v>
      </c>
      <c r="AQ838" s="1" t="s">
        <v>74</v>
      </c>
      <c r="AR838" s="1" t="s">
        <v>74</v>
      </c>
      <c r="AS838" s="1" t="s">
        <v>74</v>
      </c>
      <c r="AT838" s="1" t="s">
        <v>346</v>
      </c>
      <c r="AU838" s="1">
        <v>2023.0</v>
      </c>
      <c r="AV838" s="1">
        <v>9.0</v>
      </c>
      <c r="AW838" s="1">
        <v>3.0</v>
      </c>
      <c r="AX838" s="1" t="s">
        <v>74</v>
      </c>
      <c r="AY838" s="1" t="s">
        <v>74</v>
      </c>
      <c r="AZ838" s="1" t="s">
        <v>74</v>
      </c>
      <c r="BA838" s="1" t="s">
        <v>74</v>
      </c>
      <c r="BB838" s="1" t="s">
        <v>74</v>
      </c>
      <c r="BC838" s="1" t="s">
        <v>74</v>
      </c>
      <c r="BD838" s="1" t="s">
        <v>8359</v>
      </c>
      <c r="BE838" s="1" t="s">
        <v>8360</v>
      </c>
      <c r="BF838" s="2" t="str">
        <f>HYPERLINK("http://dx.doi.org/10.1016/j.heliyon.2023.e14216","http://dx.doi.org/10.1016/j.heliyon.2023.e14216")</f>
        <v>http://dx.doi.org/10.1016/j.heliyon.2023.e14216</v>
      </c>
      <c r="BG838" s="1" t="s">
        <v>74</v>
      </c>
      <c r="BH838" s="1" t="s">
        <v>8361</v>
      </c>
      <c r="BI838" s="1" t="s">
        <v>74</v>
      </c>
      <c r="BJ838" s="1" t="s">
        <v>74</v>
      </c>
      <c r="BK838" s="1" t="s">
        <v>74</v>
      </c>
      <c r="BL838" s="1" t="s">
        <v>74</v>
      </c>
      <c r="BM838" s="1" t="s">
        <v>74</v>
      </c>
      <c r="BN838" s="1">
        <v>3.6923846E7</v>
      </c>
      <c r="BO838" s="1" t="s">
        <v>74</v>
      </c>
      <c r="BP838" s="1" t="s">
        <v>74</v>
      </c>
      <c r="BQ838" s="1" t="s">
        <v>74</v>
      </c>
      <c r="BR838" s="1" t="s">
        <v>74</v>
      </c>
      <c r="BS838" s="1" t="s">
        <v>8362</v>
      </c>
      <c r="BT838" s="1" t="str">
        <f>HYPERLINK("https%3A%2F%2Fwww.webofscience.com%2Fwos%2Fwoscc%2Ffull-record%2FWOS:000968611000001","View Full Record in Web of Science")</f>
        <v>View Full Record in Web of Science</v>
      </c>
    </row>
    <row r="839" ht="12.75" customHeight="1">
      <c r="A839" s="1" t="s">
        <v>72</v>
      </c>
      <c r="B839" s="1" t="s">
        <v>8363</v>
      </c>
      <c r="C839" s="1" t="s">
        <v>74</v>
      </c>
      <c r="D839" s="1" t="s">
        <v>74</v>
      </c>
      <c r="E839" s="1" t="s">
        <v>74</v>
      </c>
      <c r="F839" s="1" t="s">
        <v>8364</v>
      </c>
      <c r="G839" s="1" t="s">
        <v>74</v>
      </c>
      <c r="H839" s="1" t="s">
        <v>74</v>
      </c>
      <c r="I839" s="1" t="s">
        <v>8365</v>
      </c>
      <c r="J839" s="1" t="s">
        <v>8366</v>
      </c>
      <c r="K839" s="1" t="s">
        <v>74</v>
      </c>
      <c r="L839" s="1" t="s">
        <v>74</v>
      </c>
      <c r="M839" s="1" t="s">
        <v>74</v>
      </c>
      <c r="N839" s="1" t="s">
        <v>74</v>
      </c>
      <c r="O839" s="1" t="s">
        <v>74</v>
      </c>
      <c r="P839" s="1" t="s">
        <v>74</v>
      </c>
      <c r="Q839" s="1" t="s">
        <v>74</v>
      </c>
      <c r="R839" s="1" t="s">
        <v>74</v>
      </c>
      <c r="S839" s="1" t="s">
        <v>74</v>
      </c>
      <c r="T839" s="1" t="s">
        <v>74</v>
      </c>
      <c r="U839" s="1" t="s">
        <v>74</v>
      </c>
      <c r="V839" s="1" t="s">
        <v>8367</v>
      </c>
      <c r="W839" s="1" t="s">
        <v>74</v>
      </c>
      <c r="X839" s="1" t="s">
        <v>74</v>
      </c>
      <c r="Y839" s="1" t="s">
        <v>74</v>
      </c>
      <c r="Z839" s="1" t="s">
        <v>74</v>
      </c>
      <c r="AA839" s="1" t="s">
        <v>8368</v>
      </c>
      <c r="AB839" s="1" t="s">
        <v>8369</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74</v>
      </c>
      <c r="AP839" s="1" t="s">
        <v>8370</v>
      </c>
      <c r="AQ839" s="1" t="s">
        <v>74</v>
      </c>
      <c r="AR839" s="1" t="s">
        <v>74</v>
      </c>
      <c r="AS839" s="1" t="s">
        <v>74</v>
      </c>
      <c r="AT839" s="1" t="s">
        <v>141</v>
      </c>
      <c r="AU839" s="1">
        <v>2022.0</v>
      </c>
      <c r="AV839" s="1">
        <v>9.0</v>
      </c>
      <c r="AW839" s="1">
        <v>9.0</v>
      </c>
      <c r="AX839" s="1" t="s">
        <v>74</v>
      </c>
      <c r="AY839" s="1" t="s">
        <v>74</v>
      </c>
      <c r="AZ839" s="1" t="s">
        <v>74</v>
      </c>
      <c r="BA839" s="1" t="s">
        <v>74</v>
      </c>
      <c r="BB839" s="1" t="s">
        <v>74</v>
      </c>
      <c r="BC839" s="1" t="s">
        <v>74</v>
      </c>
      <c r="BD839" s="1">
        <v>110.0</v>
      </c>
      <c r="BE839" s="1" t="s">
        <v>8371</v>
      </c>
      <c r="BF839" s="2" t="str">
        <f>HYPERLINK("http://dx.doi.org/10.3390/environments9090110","http://dx.doi.org/10.3390/environments9090110")</f>
        <v>http://dx.doi.org/10.3390/environments9090110</v>
      </c>
      <c r="BG839" s="1" t="s">
        <v>74</v>
      </c>
      <c r="BH839" s="1" t="s">
        <v>74</v>
      </c>
      <c r="BI839" s="1" t="s">
        <v>74</v>
      </c>
      <c r="BJ839" s="1" t="s">
        <v>74</v>
      </c>
      <c r="BK839" s="1" t="s">
        <v>74</v>
      </c>
      <c r="BL839" s="1" t="s">
        <v>74</v>
      </c>
      <c r="BM839" s="1" t="s">
        <v>74</v>
      </c>
      <c r="BN839" s="1" t="s">
        <v>74</v>
      </c>
      <c r="BO839" s="1" t="s">
        <v>74</v>
      </c>
      <c r="BP839" s="1" t="s">
        <v>74</v>
      </c>
      <c r="BQ839" s="1" t="s">
        <v>74</v>
      </c>
      <c r="BR839" s="1" t="s">
        <v>74</v>
      </c>
      <c r="BS839" s="1" t="s">
        <v>8372</v>
      </c>
      <c r="BT839" s="1" t="str">
        <f>HYPERLINK("https%3A%2F%2Fwww.webofscience.com%2Fwos%2Fwoscc%2Ffull-record%2FWOS:000860152500001","View Full Record in Web of Science")</f>
        <v>View Full Record in Web of Science</v>
      </c>
    </row>
    <row r="840" ht="12.75" customHeight="1">
      <c r="A840" s="1" t="s">
        <v>72</v>
      </c>
      <c r="B840" s="1" t="s">
        <v>8373</v>
      </c>
      <c r="C840" s="1" t="s">
        <v>74</v>
      </c>
      <c r="D840" s="1" t="s">
        <v>74</v>
      </c>
      <c r="E840" s="1" t="s">
        <v>74</v>
      </c>
      <c r="F840" s="1" t="s">
        <v>8374</v>
      </c>
      <c r="G840" s="1" t="s">
        <v>74</v>
      </c>
      <c r="H840" s="1" t="s">
        <v>74</v>
      </c>
      <c r="I840" s="1" t="s">
        <v>8375</v>
      </c>
      <c r="J840" s="1" t="s">
        <v>8376</v>
      </c>
      <c r="K840" s="1" t="s">
        <v>74</v>
      </c>
      <c r="L840" s="1" t="s">
        <v>74</v>
      </c>
      <c r="M840" s="1" t="s">
        <v>74</v>
      </c>
      <c r="N840" s="1" t="s">
        <v>74</v>
      </c>
      <c r="O840" s="1" t="s">
        <v>74</v>
      </c>
      <c r="P840" s="1" t="s">
        <v>74</v>
      </c>
      <c r="Q840" s="1" t="s">
        <v>74</v>
      </c>
      <c r="R840" s="1" t="s">
        <v>74</v>
      </c>
      <c r="S840" s="1" t="s">
        <v>74</v>
      </c>
      <c r="T840" s="1" t="s">
        <v>74</v>
      </c>
      <c r="U840" s="1" t="s">
        <v>74</v>
      </c>
      <c r="V840" s="1" t="s">
        <v>8377</v>
      </c>
      <c r="W840" s="1" t="s">
        <v>74</v>
      </c>
      <c r="X840" s="1" t="s">
        <v>74</v>
      </c>
      <c r="Y840" s="1" t="s">
        <v>74</v>
      </c>
      <c r="Z840" s="1" t="s">
        <v>74</v>
      </c>
      <c r="AA840" s="1" t="s">
        <v>8378</v>
      </c>
      <c r="AB840" s="1" t="s">
        <v>8379</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8380</v>
      </c>
      <c r="AP840" s="1" t="s">
        <v>74</v>
      </c>
      <c r="AQ840" s="1" t="s">
        <v>74</v>
      </c>
      <c r="AR840" s="1" t="s">
        <v>74</v>
      </c>
      <c r="AS840" s="1" t="s">
        <v>74</v>
      </c>
      <c r="AT840" s="1" t="s">
        <v>8381</v>
      </c>
      <c r="AU840" s="1">
        <v>2020.0</v>
      </c>
      <c r="AV840" s="1">
        <v>11.0</v>
      </c>
      <c r="AW840" s="1">
        <v>3.0</v>
      </c>
      <c r="AX840" s="1" t="s">
        <v>74</v>
      </c>
      <c r="AY840" s="1" t="s">
        <v>74</v>
      </c>
      <c r="AZ840" s="1" t="s">
        <v>74</v>
      </c>
      <c r="BA840" s="1" t="s">
        <v>74</v>
      </c>
      <c r="BB840" s="1">
        <v>670.0</v>
      </c>
      <c r="BC840" s="1" t="s">
        <v>966</v>
      </c>
      <c r="BD840" s="1" t="s">
        <v>74</v>
      </c>
      <c r="BE840" s="1" t="s">
        <v>8382</v>
      </c>
      <c r="BF840" s="2" t="str">
        <f>HYPERLINK("http://dx.doi.org/10.1021/acs.jpclett.9b03574","http://dx.doi.org/10.1021/acs.jpclett.9b03574")</f>
        <v>http://dx.doi.org/10.1021/acs.jpclett.9b03574</v>
      </c>
      <c r="BG840" s="1" t="s">
        <v>74</v>
      </c>
      <c r="BH840" s="1" t="s">
        <v>74</v>
      </c>
      <c r="BI840" s="1" t="s">
        <v>74</v>
      </c>
      <c r="BJ840" s="1" t="s">
        <v>74</v>
      </c>
      <c r="BK840" s="1" t="s">
        <v>74</v>
      </c>
      <c r="BL840" s="1" t="s">
        <v>74</v>
      </c>
      <c r="BM840" s="1" t="s">
        <v>74</v>
      </c>
      <c r="BN840" s="1">
        <v>3.1905285E7</v>
      </c>
      <c r="BO840" s="1" t="s">
        <v>74</v>
      </c>
      <c r="BP840" s="1" t="s">
        <v>74</v>
      </c>
      <c r="BQ840" s="1" t="s">
        <v>74</v>
      </c>
      <c r="BR840" s="1" t="s">
        <v>74</v>
      </c>
      <c r="BS840" s="1" t="s">
        <v>8383</v>
      </c>
      <c r="BT840" s="1" t="str">
        <f>HYPERLINK("https%3A%2F%2Fwww.webofscience.com%2Fwos%2Fwoscc%2Ffull-record%2FWOS:000512223400012","View Full Record in Web of Science")</f>
        <v>View Full Record in Web of Science</v>
      </c>
    </row>
    <row r="841" ht="12.75" customHeight="1">
      <c r="A841" s="1" t="s">
        <v>72</v>
      </c>
      <c r="B841" s="1" t="s">
        <v>8384</v>
      </c>
      <c r="C841" s="1" t="s">
        <v>74</v>
      </c>
      <c r="D841" s="1" t="s">
        <v>74</v>
      </c>
      <c r="E841" s="1" t="s">
        <v>74</v>
      </c>
      <c r="F841" s="1" t="s">
        <v>8385</v>
      </c>
      <c r="G841" s="1" t="s">
        <v>74</v>
      </c>
      <c r="H841" s="1" t="s">
        <v>74</v>
      </c>
      <c r="I841" s="1" t="s">
        <v>8386</v>
      </c>
      <c r="J841" s="1" t="s">
        <v>8387</v>
      </c>
      <c r="K841" s="1" t="s">
        <v>74</v>
      </c>
      <c r="L841" s="1" t="s">
        <v>74</v>
      </c>
      <c r="M841" s="1" t="s">
        <v>74</v>
      </c>
      <c r="N841" s="1" t="s">
        <v>74</v>
      </c>
      <c r="O841" s="1" t="s">
        <v>74</v>
      </c>
      <c r="P841" s="1" t="s">
        <v>74</v>
      </c>
      <c r="Q841" s="1" t="s">
        <v>74</v>
      </c>
      <c r="R841" s="1" t="s">
        <v>74</v>
      </c>
      <c r="S841" s="1" t="s">
        <v>74</v>
      </c>
      <c r="T841" s="1" t="s">
        <v>74</v>
      </c>
      <c r="U841" s="1" t="s">
        <v>74</v>
      </c>
      <c r="V841" s="1" t="s">
        <v>8388</v>
      </c>
      <c r="W841" s="1" t="s">
        <v>74</v>
      </c>
      <c r="X841" s="1" t="s">
        <v>74</v>
      </c>
      <c r="Y841" s="1" t="s">
        <v>74</v>
      </c>
      <c r="Z841" s="1" t="s">
        <v>74</v>
      </c>
      <c r="AA841" s="1" t="s">
        <v>8389</v>
      </c>
      <c r="AB841" s="1" t="s">
        <v>8390</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8391</v>
      </c>
      <c r="AP841" s="1" t="s">
        <v>74</v>
      </c>
      <c r="AQ841" s="1" t="s">
        <v>74</v>
      </c>
      <c r="AR841" s="1" t="s">
        <v>74</v>
      </c>
      <c r="AS841" s="1" t="s">
        <v>74</v>
      </c>
      <c r="AT841" s="1" t="s">
        <v>8392</v>
      </c>
      <c r="AU841" s="1">
        <v>2024.0</v>
      </c>
      <c r="AV841" s="1">
        <v>5.0</v>
      </c>
      <c r="AW841" s="1">
        <v>6.0</v>
      </c>
      <c r="AX841" s="1" t="s">
        <v>74</v>
      </c>
      <c r="AY841" s="1" t="s">
        <v>74</v>
      </c>
      <c r="AZ841" s="1" t="s">
        <v>74</v>
      </c>
      <c r="BA841" s="1" t="s">
        <v>74</v>
      </c>
      <c r="BB841" s="1" t="s">
        <v>74</v>
      </c>
      <c r="BC841" s="1" t="s">
        <v>74</v>
      </c>
      <c r="BD841" s="1">
        <v>101593.0</v>
      </c>
      <c r="BE841" s="1" t="s">
        <v>8393</v>
      </c>
      <c r="BF841" s="2" t="str">
        <f>HYPERLINK("http://dx.doi.org/10.1016/j.xcrm.2024.101593","http://dx.doi.org/10.1016/j.xcrm.2024.101593")</f>
        <v>http://dx.doi.org/10.1016/j.xcrm.2024.101593</v>
      </c>
      <c r="BG841" s="1" t="s">
        <v>74</v>
      </c>
      <c r="BH841" s="1" t="s">
        <v>702</v>
      </c>
      <c r="BI841" s="1" t="s">
        <v>74</v>
      </c>
      <c r="BJ841" s="1" t="s">
        <v>74</v>
      </c>
      <c r="BK841" s="1" t="s">
        <v>74</v>
      </c>
      <c r="BL841" s="1" t="s">
        <v>74</v>
      </c>
      <c r="BM841" s="1" t="s">
        <v>74</v>
      </c>
      <c r="BN841" s="1">
        <v>3.8843842E7</v>
      </c>
      <c r="BO841" s="1" t="s">
        <v>74</v>
      </c>
      <c r="BP841" s="1" t="s">
        <v>74</v>
      </c>
      <c r="BQ841" s="1" t="s">
        <v>74</v>
      </c>
      <c r="BR841" s="1" t="s">
        <v>74</v>
      </c>
      <c r="BS841" s="1" t="s">
        <v>8394</v>
      </c>
      <c r="BT841" s="1" t="str">
        <f>HYPERLINK("https%3A%2F%2Fwww.webofscience.com%2Fwos%2Fwoscc%2Ffull-record%2FWOS:001296014000001","View Full Record in Web of Science")</f>
        <v>View Full Record in Web of Science</v>
      </c>
    </row>
    <row r="842" ht="12.75" customHeight="1">
      <c r="A842" s="1" t="s">
        <v>72</v>
      </c>
      <c r="B842" s="1" t="s">
        <v>8395</v>
      </c>
      <c r="C842" s="1" t="s">
        <v>74</v>
      </c>
      <c r="D842" s="1" t="s">
        <v>74</v>
      </c>
      <c r="E842" s="1" t="s">
        <v>74</v>
      </c>
      <c r="F842" s="1" t="s">
        <v>8396</v>
      </c>
      <c r="G842" s="1" t="s">
        <v>74</v>
      </c>
      <c r="H842" s="1" t="s">
        <v>74</v>
      </c>
      <c r="I842" s="1" t="s">
        <v>8397</v>
      </c>
      <c r="J842" s="1" t="s">
        <v>1024</v>
      </c>
      <c r="K842" s="1" t="s">
        <v>74</v>
      </c>
      <c r="L842" s="1" t="s">
        <v>74</v>
      </c>
      <c r="M842" s="1" t="s">
        <v>74</v>
      </c>
      <c r="N842" s="1" t="s">
        <v>74</v>
      </c>
      <c r="O842" s="1" t="s">
        <v>74</v>
      </c>
      <c r="P842" s="1" t="s">
        <v>74</v>
      </c>
      <c r="Q842" s="1" t="s">
        <v>74</v>
      </c>
      <c r="R842" s="1" t="s">
        <v>74</v>
      </c>
      <c r="S842" s="1" t="s">
        <v>74</v>
      </c>
      <c r="T842" s="1" t="s">
        <v>74</v>
      </c>
      <c r="U842" s="1" t="s">
        <v>74</v>
      </c>
      <c r="V842" s="1" t="s">
        <v>8398</v>
      </c>
      <c r="W842" s="1" t="s">
        <v>74</v>
      </c>
      <c r="X842" s="1" t="s">
        <v>74</v>
      </c>
      <c r="Y842" s="1" t="s">
        <v>74</v>
      </c>
      <c r="Z842" s="1" t="s">
        <v>74</v>
      </c>
      <c r="AA842" s="1" t="s">
        <v>8399</v>
      </c>
      <c r="AB842" s="1" t="s">
        <v>8400</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1028</v>
      </c>
      <c r="AP842" s="1" t="s">
        <v>1029</v>
      </c>
      <c r="AQ842" s="1" t="s">
        <v>74</v>
      </c>
      <c r="AR842" s="1" t="s">
        <v>74</v>
      </c>
      <c r="AS842" s="1" t="s">
        <v>74</v>
      </c>
      <c r="AT842" s="1" t="s">
        <v>8401</v>
      </c>
      <c r="AU842" s="1">
        <v>2024.0</v>
      </c>
      <c r="AV842" s="1">
        <v>532.0</v>
      </c>
      <c r="AW842" s="1">
        <v>4.0</v>
      </c>
      <c r="AX842" s="1" t="s">
        <v>74</v>
      </c>
      <c r="AY842" s="1" t="s">
        <v>74</v>
      </c>
      <c r="AZ842" s="1" t="s">
        <v>74</v>
      </c>
      <c r="BA842" s="1" t="s">
        <v>74</v>
      </c>
      <c r="BB842" s="1">
        <v>3694.0</v>
      </c>
      <c r="BC842" s="1">
        <v>3712.0</v>
      </c>
      <c r="BD842" s="1" t="s">
        <v>74</v>
      </c>
      <c r="BE842" s="1" t="s">
        <v>8402</v>
      </c>
      <c r="BF842" s="2" t="str">
        <f>HYPERLINK("http://dx.doi.org/10.1093/mnras/stae1674","http://dx.doi.org/10.1093/mnras/stae1674")</f>
        <v>http://dx.doi.org/10.1093/mnras/stae1674</v>
      </c>
      <c r="BG842" s="1" t="s">
        <v>74</v>
      </c>
      <c r="BH842" s="1" t="s">
        <v>689</v>
      </c>
      <c r="BI842" s="1" t="s">
        <v>74</v>
      </c>
      <c r="BJ842" s="1" t="s">
        <v>74</v>
      </c>
      <c r="BK842" s="1" t="s">
        <v>74</v>
      </c>
      <c r="BL842" s="1" t="s">
        <v>74</v>
      </c>
      <c r="BM842" s="1" t="s">
        <v>74</v>
      </c>
      <c r="BN842" s="1" t="s">
        <v>74</v>
      </c>
      <c r="BO842" s="1" t="s">
        <v>74</v>
      </c>
      <c r="BP842" s="1" t="s">
        <v>74</v>
      </c>
      <c r="BQ842" s="1" t="s">
        <v>74</v>
      </c>
      <c r="BR842" s="1" t="s">
        <v>74</v>
      </c>
      <c r="BS842" s="1" t="s">
        <v>8403</v>
      </c>
      <c r="BT842" s="1" t="str">
        <f>HYPERLINK("https%3A%2F%2Fwww.webofscience.com%2Fwos%2Fwoscc%2Ffull-record%2FWOS:001281876300008","View Full Record in Web of Science")</f>
        <v>View Full Record in Web of Science</v>
      </c>
    </row>
    <row r="843" ht="12.75" customHeight="1">
      <c r="A843" s="1" t="s">
        <v>72</v>
      </c>
      <c r="B843" s="1" t="s">
        <v>8404</v>
      </c>
      <c r="C843" s="1" t="s">
        <v>74</v>
      </c>
      <c r="D843" s="1" t="s">
        <v>74</v>
      </c>
      <c r="E843" s="1" t="s">
        <v>74</v>
      </c>
      <c r="F843" s="1" t="s">
        <v>8405</v>
      </c>
      <c r="G843" s="1" t="s">
        <v>74</v>
      </c>
      <c r="H843" s="1" t="s">
        <v>74</v>
      </c>
      <c r="I843" s="1" t="s">
        <v>8406</v>
      </c>
      <c r="J843" s="1" t="s">
        <v>8407</v>
      </c>
      <c r="K843" s="1" t="s">
        <v>74</v>
      </c>
      <c r="L843" s="1" t="s">
        <v>74</v>
      </c>
      <c r="M843" s="1" t="s">
        <v>74</v>
      </c>
      <c r="N843" s="1" t="s">
        <v>74</v>
      </c>
      <c r="O843" s="1" t="s">
        <v>74</v>
      </c>
      <c r="P843" s="1" t="s">
        <v>74</v>
      </c>
      <c r="Q843" s="1" t="s">
        <v>74</v>
      </c>
      <c r="R843" s="1" t="s">
        <v>74</v>
      </c>
      <c r="S843" s="1" t="s">
        <v>74</v>
      </c>
      <c r="T843" s="1" t="s">
        <v>74</v>
      </c>
      <c r="U843" s="1" t="s">
        <v>74</v>
      </c>
      <c r="V843" s="1" t="s">
        <v>8408</v>
      </c>
      <c r="W843" s="1" t="s">
        <v>74</v>
      </c>
      <c r="X843" s="1" t="s">
        <v>74</v>
      </c>
      <c r="Y843" s="1" t="s">
        <v>74</v>
      </c>
      <c r="Z843" s="1" t="s">
        <v>74</v>
      </c>
      <c r="AA843" s="1" t="s">
        <v>8409</v>
      </c>
      <c r="AB843" s="1" t="s">
        <v>8410</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74</v>
      </c>
      <c r="AP843" s="1" t="s">
        <v>8411</v>
      </c>
      <c r="AQ843" s="1" t="s">
        <v>74</v>
      </c>
      <c r="AR843" s="1" t="s">
        <v>74</v>
      </c>
      <c r="AS843" s="1" t="s">
        <v>74</v>
      </c>
      <c r="AT843" s="1" t="s">
        <v>5955</v>
      </c>
      <c r="AU843" s="1">
        <v>2021.0</v>
      </c>
      <c r="AV843" s="1">
        <v>2.0</v>
      </c>
      <c r="AW843" s="1">
        <v>1.0</v>
      </c>
      <c r="AX843" s="1" t="s">
        <v>74</v>
      </c>
      <c r="AY843" s="1" t="s">
        <v>74</v>
      </c>
      <c r="AZ843" s="1" t="s">
        <v>74</v>
      </c>
      <c r="BA843" s="1" t="s">
        <v>74</v>
      </c>
      <c r="BB843" s="1" t="s">
        <v>74</v>
      </c>
      <c r="BC843" s="1" t="s">
        <v>74</v>
      </c>
      <c r="BD843" s="1">
        <v>158.0</v>
      </c>
      <c r="BE843" s="1" t="s">
        <v>8412</v>
      </c>
      <c r="BF843" s="2" t="str">
        <f>HYPERLINK("http://dx.doi.org/10.1038/s43247-021-00232-5","http://dx.doi.org/10.1038/s43247-021-00232-5")</f>
        <v>http://dx.doi.org/10.1038/s43247-021-00232-5</v>
      </c>
      <c r="BG843" s="1" t="s">
        <v>74</v>
      </c>
      <c r="BH843" s="1" t="s">
        <v>74</v>
      </c>
      <c r="BI843" s="1" t="s">
        <v>74</v>
      </c>
      <c r="BJ843" s="1" t="s">
        <v>74</v>
      </c>
      <c r="BK843" s="1" t="s">
        <v>74</v>
      </c>
      <c r="BL843" s="1" t="s">
        <v>74</v>
      </c>
      <c r="BM843" s="1" t="s">
        <v>74</v>
      </c>
      <c r="BN843" s="1" t="s">
        <v>74</v>
      </c>
      <c r="BO843" s="1" t="s">
        <v>74</v>
      </c>
      <c r="BP843" s="1" t="s">
        <v>74</v>
      </c>
      <c r="BQ843" s="1" t="s">
        <v>74</v>
      </c>
      <c r="BR843" s="1" t="s">
        <v>74</v>
      </c>
      <c r="BS843" s="1" t="s">
        <v>8413</v>
      </c>
      <c r="BT843" s="1" t="str">
        <f>HYPERLINK("https%3A%2F%2Fwww.webofscience.com%2Fwos%2Fwoscc%2Ffull-record%2FWOS:000685103600002","View Full Record in Web of Science")</f>
        <v>View Full Record in Web of Science</v>
      </c>
    </row>
    <row r="844" ht="12.75" customHeight="1">
      <c r="A844" s="1" t="s">
        <v>72</v>
      </c>
      <c r="B844" s="1" t="s">
        <v>8414</v>
      </c>
      <c r="C844" s="1" t="s">
        <v>74</v>
      </c>
      <c r="D844" s="1" t="s">
        <v>74</v>
      </c>
      <c r="E844" s="1" t="s">
        <v>74</v>
      </c>
      <c r="F844" s="1" t="s">
        <v>8415</v>
      </c>
      <c r="G844" s="1" t="s">
        <v>74</v>
      </c>
      <c r="H844" s="1" t="s">
        <v>74</v>
      </c>
      <c r="I844" s="1" t="s">
        <v>8416</v>
      </c>
      <c r="J844" s="1" t="s">
        <v>8417</v>
      </c>
      <c r="K844" s="1" t="s">
        <v>74</v>
      </c>
      <c r="L844" s="1" t="s">
        <v>74</v>
      </c>
      <c r="M844" s="1" t="s">
        <v>74</v>
      </c>
      <c r="N844" s="1" t="s">
        <v>74</v>
      </c>
      <c r="O844" s="1" t="s">
        <v>74</v>
      </c>
      <c r="P844" s="1" t="s">
        <v>74</v>
      </c>
      <c r="Q844" s="1" t="s">
        <v>74</v>
      </c>
      <c r="R844" s="1" t="s">
        <v>74</v>
      </c>
      <c r="S844" s="1" t="s">
        <v>74</v>
      </c>
      <c r="T844" s="1" t="s">
        <v>74</v>
      </c>
      <c r="U844" s="1" t="s">
        <v>74</v>
      </c>
      <c r="V844" s="1" t="s">
        <v>8418</v>
      </c>
      <c r="W844" s="1" t="s">
        <v>74</v>
      </c>
      <c r="X844" s="1" t="s">
        <v>74</v>
      </c>
      <c r="Y844" s="1" t="s">
        <v>74</v>
      </c>
      <c r="Z844" s="1" t="s">
        <v>74</v>
      </c>
      <c r="AA844" s="1" t="s">
        <v>8419</v>
      </c>
      <c r="AB844" s="1" t="s">
        <v>8420</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8421</v>
      </c>
      <c r="AP844" s="1" t="s">
        <v>8422</v>
      </c>
      <c r="AQ844" s="1" t="s">
        <v>74</v>
      </c>
      <c r="AR844" s="1" t="s">
        <v>74</v>
      </c>
      <c r="AS844" s="1" t="s">
        <v>74</v>
      </c>
      <c r="AT844" s="1" t="s">
        <v>392</v>
      </c>
      <c r="AU844" s="1">
        <v>2021.0</v>
      </c>
      <c r="AV844" s="1">
        <v>131.0</v>
      </c>
      <c r="AW844" s="1">
        <v>4.0</v>
      </c>
      <c r="AX844" s="1" t="s">
        <v>74</v>
      </c>
      <c r="AY844" s="1" t="s">
        <v>74</v>
      </c>
      <c r="AZ844" s="1" t="s">
        <v>74</v>
      </c>
      <c r="BA844" s="1" t="s">
        <v>74</v>
      </c>
      <c r="BB844" s="1">
        <v>921.0</v>
      </c>
      <c r="BC844" s="1">
        <v>924.0</v>
      </c>
      <c r="BD844" s="1" t="s">
        <v>74</v>
      </c>
      <c r="BE844" s="1" t="s">
        <v>8423</v>
      </c>
      <c r="BF844" s="2" t="str">
        <f>HYPERLINK("http://dx.doi.org/10.1002/lary.29051","http://dx.doi.org/10.1002/lary.29051")</f>
        <v>http://dx.doi.org/10.1002/lary.29051</v>
      </c>
      <c r="BG844" s="1" t="s">
        <v>74</v>
      </c>
      <c r="BH844" s="1" t="s">
        <v>6644</v>
      </c>
      <c r="BI844" s="1" t="s">
        <v>74</v>
      </c>
      <c r="BJ844" s="1" t="s">
        <v>74</v>
      </c>
      <c r="BK844" s="1" t="s">
        <v>74</v>
      </c>
      <c r="BL844" s="1" t="s">
        <v>74</v>
      </c>
      <c r="BM844" s="1" t="s">
        <v>74</v>
      </c>
      <c r="BN844" s="1">
        <v>3.2902861E7</v>
      </c>
      <c r="BO844" s="1" t="s">
        <v>74</v>
      </c>
      <c r="BP844" s="1" t="s">
        <v>74</v>
      </c>
      <c r="BQ844" s="1" t="s">
        <v>74</v>
      </c>
      <c r="BR844" s="1" t="s">
        <v>74</v>
      </c>
      <c r="BS844" s="1" t="s">
        <v>8424</v>
      </c>
      <c r="BT844" s="1" t="str">
        <f>HYPERLINK("https%3A%2F%2Fwww.webofscience.com%2Fwos%2Fwoscc%2Ffull-record%2FWOS:000567795100001","View Full Record in Web of Science")</f>
        <v>View Full Record in Web of Science</v>
      </c>
    </row>
    <row r="845" ht="12.75" customHeight="1">
      <c r="A845" s="1" t="s">
        <v>72</v>
      </c>
      <c r="B845" s="1" t="s">
        <v>8425</v>
      </c>
      <c r="C845" s="1" t="s">
        <v>74</v>
      </c>
      <c r="D845" s="1" t="s">
        <v>74</v>
      </c>
      <c r="E845" s="1" t="s">
        <v>74</v>
      </c>
      <c r="F845" s="1" t="s">
        <v>8426</v>
      </c>
      <c r="G845" s="1" t="s">
        <v>74</v>
      </c>
      <c r="H845" s="1" t="s">
        <v>74</v>
      </c>
      <c r="I845" s="1" t="s">
        <v>8427</v>
      </c>
      <c r="J845" s="1" t="s">
        <v>8428</v>
      </c>
      <c r="K845" s="1" t="s">
        <v>74</v>
      </c>
      <c r="L845" s="1" t="s">
        <v>74</v>
      </c>
      <c r="M845" s="1" t="s">
        <v>74</v>
      </c>
      <c r="N845" s="1" t="s">
        <v>74</v>
      </c>
      <c r="O845" s="1" t="s">
        <v>74</v>
      </c>
      <c r="P845" s="1" t="s">
        <v>74</v>
      </c>
      <c r="Q845" s="1" t="s">
        <v>74</v>
      </c>
      <c r="R845" s="1" t="s">
        <v>74</v>
      </c>
      <c r="S845" s="1" t="s">
        <v>74</v>
      </c>
      <c r="T845" s="1" t="s">
        <v>74</v>
      </c>
      <c r="U845" s="1" t="s">
        <v>74</v>
      </c>
      <c r="V845" s="1" t="s">
        <v>8429</v>
      </c>
      <c r="W845" s="1" t="s">
        <v>74</v>
      </c>
      <c r="X845" s="1" t="s">
        <v>74</v>
      </c>
      <c r="Y845" s="1" t="s">
        <v>74</v>
      </c>
      <c r="Z845" s="1" t="s">
        <v>74</v>
      </c>
      <c r="AA845" s="1" t="s">
        <v>8430</v>
      </c>
      <c r="AB845" s="1" t="s">
        <v>74</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8431</v>
      </c>
      <c r="AP845" s="1" t="s">
        <v>8432</v>
      </c>
      <c r="AQ845" s="1" t="s">
        <v>74</v>
      </c>
      <c r="AR845" s="1" t="s">
        <v>74</v>
      </c>
      <c r="AS845" s="1" t="s">
        <v>74</v>
      </c>
      <c r="AT845" s="1" t="s">
        <v>4668</v>
      </c>
      <c r="AU845" s="1">
        <v>2025.0</v>
      </c>
      <c r="AV845" s="1">
        <v>104.0</v>
      </c>
      <c r="AW845" s="1">
        <v>9.0</v>
      </c>
      <c r="AX845" s="1" t="s">
        <v>74</v>
      </c>
      <c r="AY845" s="1" t="s">
        <v>74</v>
      </c>
      <c r="AZ845" s="1" t="s">
        <v>74</v>
      </c>
      <c r="BA845" s="1" t="s">
        <v>74</v>
      </c>
      <c r="BB845" s="1" t="s">
        <v>74</v>
      </c>
      <c r="BC845" s="1" t="s">
        <v>74</v>
      </c>
      <c r="BD845" s="1" t="s">
        <v>8433</v>
      </c>
      <c r="BE845" s="1" t="s">
        <v>8434</v>
      </c>
      <c r="BF845" s="2" t="str">
        <f>HYPERLINK("http://dx.doi.org/10.1212/WNL.0000000000213556","http://dx.doi.org/10.1212/WNL.0000000000213556")</f>
        <v>http://dx.doi.org/10.1212/WNL.0000000000213556</v>
      </c>
      <c r="BG845" s="1" t="s">
        <v>74</v>
      </c>
      <c r="BH845" s="1" t="s">
        <v>74</v>
      </c>
      <c r="BI845" s="1" t="s">
        <v>74</v>
      </c>
      <c r="BJ845" s="1" t="s">
        <v>74</v>
      </c>
      <c r="BK845" s="1" t="s">
        <v>74</v>
      </c>
      <c r="BL845" s="1" t="s">
        <v>74</v>
      </c>
      <c r="BM845" s="1" t="s">
        <v>74</v>
      </c>
      <c r="BN845" s="1">
        <v>4.0209131E7</v>
      </c>
      <c r="BO845" s="1" t="s">
        <v>74</v>
      </c>
      <c r="BP845" s="1" t="s">
        <v>74</v>
      </c>
      <c r="BQ845" s="1" t="s">
        <v>74</v>
      </c>
      <c r="BR845" s="1" t="s">
        <v>74</v>
      </c>
      <c r="BS845" s="1" t="s">
        <v>8435</v>
      </c>
      <c r="BT845" s="1" t="str">
        <f>HYPERLINK("https%3A%2F%2Fwww.webofscience.com%2Fwos%2Fwoscc%2Ffull-record%2FWOS:001465996700001","View Full Record in Web of Science")</f>
        <v>View Full Record in Web of Science</v>
      </c>
    </row>
    <row r="846" ht="12.75" customHeight="1">
      <c r="A846" s="1" t="s">
        <v>72</v>
      </c>
      <c r="B846" s="1" t="s">
        <v>8436</v>
      </c>
      <c r="C846" s="1" t="s">
        <v>74</v>
      </c>
      <c r="D846" s="1" t="s">
        <v>74</v>
      </c>
      <c r="E846" s="1" t="s">
        <v>74</v>
      </c>
      <c r="F846" s="1" t="s">
        <v>8437</v>
      </c>
      <c r="G846" s="1" t="s">
        <v>74</v>
      </c>
      <c r="H846" s="1" t="s">
        <v>74</v>
      </c>
      <c r="I846" s="1" t="s">
        <v>8438</v>
      </c>
      <c r="J846" s="1" t="s">
        <v>8439</v>
      </c>
      <c r="K846" s="1" t="s">
        <v>74</v>
      </c>
      <c r="L846" s="1" t="s">
        <v>74</v>
      </c>
      <c r="M846" s="1" t="s">
        <v>74</v>
      </c>
      <c r="N846" s="1" t="s">
        <v>74</v>
      </c>
      <c r="O846" s="1" t="s">
        <v>74</v>
      </c>
      <c r="P846" s="1" t="s">
        <v>74</v>
      </c>
      <c r="Q846" s="1" t="s">
        <v>74</v>
      </c>
      <c r="R846" s="1" t="s">
        <v>74</v>
      </c>
      <c r="S846" s="1" t="s">
        <v>74</v>
      </c>
      <c r="T846" s="1" t="s">
        <v>74</v>
      </c>
      <c r="U846" s="1" t="s">
        <v>74</v>
      </c>
      <c r="V846" s="1" t="s">
        <v>8440</v>
      </c>
      <c r="W846" s="1" t="s">
        <v>74</v>
      </c>
      <c r="X846" s="1" t="s">
        <v>74</v>
      </c>
      <c r="Y846" s="1" t="s">
        <v>74</v>
      </c>
      <c r="Z846" s="1" t="s">
        <v>74</v>
      </c>
      <c r="AA846" s="1" t="s">
        <v>8441</v>
      </c>
      <c r="AB846" s="1" t="s">
        <v>8442</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8443</v>
      </c>
      <c r="AP846" s="1" t="s">
        <v>8444</v>
      </c>
      <c r="AQ846" s="1" t="s">
        <v>74</v>
      </c>
      <c r="AR846" s="1" t="s">
        <v>74</v>
      </c>
      <c r="AS846" s="1" t="s">
        <v>74</v>
      </c>
      <c r="AT846" s="1" t="s">
        <v>5903</v>
      </c>
      <c r="AU846" s="1">
        <v>2023.0</v>
      </c>
      <c r="AV846" s="1">
        <v>9.0</v>
      </c>
      <c r="AW846" s="1">
        <v>1.0</v>
      </c>
      <c r="AX846" s="1" t="s">
        <v>74</v>
      </c>
      <c r="AY846" s="1" t="s">
        <v>74</v>
      </c>
      <c r="AZ846" s="1" t="s">
        <v>74</v>
      </c>
      <c r="BA846" s="1" t="s">
        <v>74</v>
      </c>
      <c r="BB846" s="1" t="s">
        <v>74</v>
      </c>
      <c r="BC846" s="1" t="s">
        <v>74</v>
      </c>
      <c r="BD846" s="1">
        <v>30.0</v>
      </c>
      <c r="BE846" s="1" t="s">
        <v>8445</v>
      </c>
      <c r="BF846" s="2" t="str">
        <f>HYPERLINK("http://dx.doi.org/10.1186/s40798-023-00569-5","http://dx.doi.org/10.1186/s40798-023-00569-5")</f>
        <v>http://dx.doi.org/10.1186/s40798-023-00569-5</v>
      </c>
      <c r="BG846" s="1" t="s">
        <v>74</v>
      </c>
      <c r="BH846" s="1" t="s">
        <v>74</v>
      </c>
      <c r="BI846" s="1" t="s">
        <v>74</v>
      </c>
      <c r="BJ846" s="1" t="s">
        <v>74</v>
      </c>
      <c r="BK846" s="1" t="s">
        <v>74</v>
      </c>
      <c r="BL846" s="1" t="s">
        <v>74</v>
      </c>
      <c r="BM846" s="1" t="s">
        <v>74</v>
      </c>
      <c r="BN846" s="1">
        <v>3.7184735E7</v>
      </c>
      <c r="BO846" s="1" t="s">
        <v>74</v>
      </c>
      <c r="BP846" s="1" t="s">
        <v>74</v>
      </c>
      <c r="BQ846" s="1" t="s">
        <v>74</v>
      </c>
      <c r="BR846" s="1" t="s">
        <v>74</v>
      </c>
      <c r="BS846" s="1" t="s">
        <v>8446</v>
      </c>
      <c r="BT846" s="1" t="str">
        <f>HYPERLINK("https%3A%2F%2Fwww.webofscience.com%2Fwos%2Fwoscc%2Ffull-record%2FWOS:000987153700001","View Full Record in Web of Science")</f>
        <v>View Full Record in Web of Science</v>
      </c>
    </row>
    <row r="847" ht="12.75" customHeight="1">
      <c r="A847" s="1" t="s">
        <v>72</v>
      </c>
      <c r="B847" s="1" t="s">
        <v>8447</v>
      </c>
      <c r="C847" s="1" t="s">
        <v>74</v>
      </c>
      <c r="D847" s="1" t="s">
        <v>74</v>
      </c>
      <c r="E847" s="1" t="s">
        <v>74</v>
      </c>
      <c r="F847" s="1" t="s">
        <v>8448</v>
      </c>
      <c r="G847" s="1" t="s">
        <v>74</v>
      </c>
      <c r="H847" s="1" t="s">
        <v>74</v>
      </c>
      <c r="I847" s="1" t="s">
        <v>8449</v>
      </c>
      <c r="J847" s="1" t="s">
        <v>5175</v>
      </c>
      <c r="K847" s="1" t="s">
        <v>74</v>
      </c>
      <c r="L847" s="1" t="s">
        <v>74</v>
      </c>
      <c r="M847" s="1" t="s">
        <v>74</v>
      </c>
      <c r="N847" s="1" t="s">
        <v>74</v>
      </c>
      <c r="O847" s="1" t="s">
        <v>74</v>
      </c>
      <c r="P847" s="1" t="s">
        <v>74</v>
      </c>
      <c r="Q847" s="1" t="s">
        <v>74</v>
      </c>
      <c r="R847" s="1" t="s">
        <v>74</v>
      </c>
      <c r="S847" s="1" t="s">
        <v>74</v>
      </c>
      <c r="T847" s="1" t="s">
        <v>74</v>
      </c>
      <c r="U847" s="1" t="s">
        <v>74</v>
      </c>
      <c r="V847" s="1" t="s">
        <v>8450</v>
      </c>
      <c r="W847" s="1" t="s">
        <v>74</v>
      </c>
      <c r="X847" s="1" t="s">
        <v>74</v>
      </c>
      <c r="Y847" s="1" t="s">
        <v>74</v>
      </c>
      <c r="Z847" s="1" t="s">
        <v>74</v>
      </c>
      <c r="AA847" s="1" t="s">
        <v>8451</v>
      </c>
      <c r="AB847" s="1" t="s">
        <v>8452</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74</v>
      </c>
      <c r="AP847" s="1" t="s">
        <v>5179</v>
      </c>
      <c r="AQ847" s="1" t="s">
        <v>74</v>
      </c>
      <c r="AR847" s="1" t="s">
        <v>74</v>
      </c>
      <c r="AS847" s="1" t="s">
        <v>74</v>
      </c>
      <c r="AT847" s="1" t="s">
        <v>745</v>
      </c>
      <c r="AU847" s="1">
        <v>2024.0</v>
      </c>
      <c r="AV847" s="1">
        <v>16.0</v>
      </c>
      <c r="AW847" s="1">
        <v>7.0</v>
      </c>
      <c r="AX847" s="1" t="s">
        <v>74</v>
      </c>
      <c r="AY847" s="1" t="s">
        <v>74</v>
      </c>
      <c r="AZ847" s="1" t="s">
        <v>74</v>
      </c>
      <c r="BA847" s="1" t="s">
        <v>74</v>
      </c>
      <c r="BB847" s="1" t="s">
        <v>74</v>
      </c>
      <c r="BC847" s="1" t="s">
        <v>74</v>
      </c>
      <c r="BD847" s="1">
        <v>856.0</v>
      </c>
      <c r="BE847" s="1" t="s">
        <v>8453</v>
      </c>
      <c r="BF847" s="2" t="str">
        <f>HYPERLINK("http://dx.doi.org/10.3390/pharmaceutics16070856","http://dx.doi.org/10.3390/pharmaceutics16070856")</f>
        <v>http://dx.doi.org/10.3390/pharmaceutics16070856</v>
      </c>
      <c r="BG847" s="1" t="s">
        <v>74</v>
      </c>
      <c r="BH847" s="1" t="s">
        <v>74</v>
      </c>
      <c r="BI847" s="1" t="s">
        <v>74</v>
      </c>
      <c r="BJ847" s="1" t="s">
        <v>74</v>
      </c>
      <c r="BK847" s="1" t="s">
        <v>74</v>
      </c>
      <c r="BL847" s="1" t="s">
        <v>74</v>
      </c>
      <c r="BM847" s="1" t="s">
        <v>74</v>
      </c>
      <c r="BN847" s="1">
        <v>3.9065553E7</v>
      </c>
      <c r="BO847" s="1" t="s">
        <v>74</v>
      </c>
      <c r="BP847" s="1" t="s">
        <v>74</v>
      </c>
      <c r="BQ847" s="1" t="s">
        <v>74</v>
      </c>
      <c r="BR847" s="1" t="s">
        <v>74</v>
      </c>
      <c r="BS847" s="1" t="s">
        <v>8454</v>
      </c>
      <c r="BT847" s="1" t="str">
        <f>HYPERLINK("https%3A%2F%2Fwww.webofscience.com%2Fwos%2Fwoscc%2Ffull-record%2FWOS:001277353500001","View Full Record in Web of Science")</f>
        <v>View Full Record in Web of Science</v>
      </c>
    </row>
    <row r="848" ht="12.75" customHeight="1">
      <c r="A848" s="1" t="s">
        <v>72</v>
      </c>
      <c r="B848" s="1" t="s">
        <v>8455</v>
      </c>
      <c r="C848" s="1" t="s">
        <v>74</v>
      </c>
      <c r="D848" s="1" t="s">
        <v>74</v>
      </c>
      <c r="E848" s="1" t="s">
        <v>74</v>
      </c>
      <c r="F848" s="1" t="s">
        <v>8456</v>
      </c>
      <c r="G848" s="1" t="s">
        <v>74</v>
      </c>
      <c r="H848" s="1" t="s">
        <v>74</v>
      </c>
      <c r="I848" s="1" t="s">
        <v>8457</v>
      </c>
      <c r="J848" s="1" t="s">
        <v>8458</v>
      </c>
      <c r="K848" s="1" t="s">
        <v>74</v>
      </c>
      <c r="L848" s="1" t="s">
        <v>74</v>
      </c>
      <c r="M848" s="1" t="s">
        <v>74</v>
      </c>
      <c r="N848" s="1" t="s">
        <v>74</v>
      </c>
      <c r="O848" s="1" t="s">
        <v>74</v>
      </c>
      <c r="P848" s="1" t="s">
        <v>74</v>
      </c>
      <c r="Q848" s="1" t="s">
        <v>74</v>
      </c>
      <c r="R848" s="1" t="s">
        <v>74</v>
      </c>
      <c r="S848" s="1" t="s">
        <v>74</v>
      </c>
      <c r="T848" s="1" t="s">
        <v>74</v>
      </c>
      <c r="U848" s="1" t="s">
        <v>74</v>
      </c>
      <c r="V848" s="1" t="s">
        <v>8459</v>
      </c>
      <c r="W848" s="1" t="s">
        <v>74</v>
      </c>
      <c r="X848" s="1" t="s">
        <v>74</v>
      </c>
      <c r="Y848" s="1" t="s">
        <v>74</v>
      </c>
      <c r="Z848" s="1" t="s">
        <v>74</v>
      </c>
      <c r="AA848" s="1" t="s">
        <v>8460</v>
      </c>
      <c r="AB848" s="1" t="s">
        <v>8461</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8462</v>
      </c>
      <c r="AP848" s="1" t="s">
        <v>8463</v>
      </c>
      <c r="AQ848" s="1" t="s">
        <v>74</v>
      </c>
      <c r="AR848" s="1" t="s">
        <v>74</v>
      </c>
      <c r="AS848" s="1" t="s">
        <v>74</v>
      </c>
      <c r="AT848" s="1" t="s">
        <v>447</v>
      </c>
      <c r="AU848" s="1">
        <v>2020.0</v>
      </c>
      <c r="AV848" s="1">
        <v>61.0</v>
      </c>
      <c r="AW848" s="1" t="s">
        <v>74</v>
      </c>
      <c r="AX848" s="1" t="s">
        <v>74</v>
      </c>
      <c r="AY848" s="1" t="s">
        <v>74</v>
      </c>
      <c r="AZ848" s="1" t="s">
        <v>74</v>
      </c>
      <c r="BA848" s="1" t="s">
        <v>74</v>
      </c>
      <c r="BB848" s="1" t="s">
        <v>74</v>
      </c>
      <c r="BC848" s="1" t="s">
        <v>74</v>
      </c>
      <c r="BD848" s="1">
        <v>101076.0</v>
      </c>
      <c r="BE848" s="1" t="s">
        <v>8464</v>
      </c>
      <c r="BF848" s="2" t="str">
        <f>HYPERLINK("http://dx.doi.org/10.1016/j.arr.2020.101076","http://dx.doi.org/10.1016/j.arr.2020.101076")</f>
        <v>http://dx.doi.org/10.1016/j.arr.2020.101076</v>
      </c>
      <c r="BG848" s="1" t="s">
        <v>74</v>
      </c>
      <c r="BH848" s="1" t="s">
        <v>74</v>
      </c>
      <c r="BI848" s="1" t="s">
        <v>74</v>
      </c>
      <c r="BJ848" s="1" t="s">
        <v>74</v>
      </c>
      <c r="BK848" s="1" t="s">
        <v>74</v>
      </c>
      <c r="BL848" s="1" t="s">
        <v>74</v>
      </c>
      <c r="BM848" s="1" t="s">
        <v>74</v>
      </c>
      <c r="BN848" s="1">
        <v>3.2330558E7</v>
      </c>
      <c r="BO848" s="1" t="s">
        <v>74</v>
      </c>
      <c r="BP848" s="1" t="s">
        <v>74</v>
      </c>
      <c r="BQ848" s="1" t="s">
        <v>74</v>
      </c>
      <c r="BR848" s="1" t="s">
        <v>74</v>
      </c>
      <c r="BS848" s="1" t="s">
        <v>8465</v>
      </c>
      <c r="BT848" s="1" t="str">
        <f>HYPERLINK("https%3A%2F%2Fwww.webofscience.com%2Fwos%2Fwoscc%2Ffull-record%2FWOS:000540712600003","View Full Record in Web of Science")</f>
        <v>View Full Record in Web of Science</v>
      </c>
    </row>
    <row r="849" ht="12.75" customHeight="1">
      <c r="A849" s="1" t="s">
        <v>72</v>
      </c>
      <c r="B849" s="1" t="s">
        <v>8466</v>
      </c>
      <c r="C849" s="1" t="s">
        <v>74</v>
      </c>
      <c r="D849" s="1" t="s">
        <v>74</v>
      </c>
      <c r="E849" s="1" t="s">
        <v>74</v>
      </c>
      <c r="F849" s="1" t="s">
        <v>8467</v>
      </c>
      <c r="G849" s="1" t="s">
        <v>74</v>
      </c>
      <c r="H849" s="1" t="s">
        <v>74</v>
      </c>
      <c r="I849" s="1" t="s">
        <v>8468</v>
      </c>
      <c r="J849" s="1" t="s">
        <v>2490</v>
      </c>
      <c r="K849" s="1" t="s">
        <v>74</v>
      </c>
      <c r="L849" s="1" t="s">
        <v>74</v>
      </c>
      <c r="M849" s="1" t="s">
        <v>74</v>
      </c>
      <c r="N849" s="1" t="s">
        <v>74</v>
      </c>
      <c r="O849" s="1" t="s">
        <v>74</v>
      </c>
      <c r="P849" s="1" t="s">
        <v>74</v>
      </c>
      <c r="Q849" s="1" t="s">
        <v>74</v>
      </c>
      <c r="R849" s="1" t="s">
        <v>74</v>
      </c>
      <c r="S849" s="1" t="s">
        <v>74</v>
      </c>
      <c r="T849" s="1" t="s">
        <v>74</v>
      </c>
      <c r="U849" s="1" t="s">
        <v>74</v>
      </c>
      <c r="V849" s="1" t="s">
        <v>8469</v>
      </c>
      <c r="W849" s="1" t="s">
        <v>74</v>
      </c>
      <c r="X849" s="1" t="s">
        <v>74</v>
      </c>
      <c r="Y849" s="1" t="s">
        <v>74</v>
      </c>
      <c r="Z849" s="1" t="s">
        <v>74</v>
      </c>
      <c r="AA849" s="1" t="s">
        <v>74</v>
      </c>
      <c r="AB849" s="1" t="s">
        <v>8470</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2494</v>
      </c>
      <c r="AP849" s="1" t="s">
        <v>2495</v>
      </c>
      <c r="AQ849" s="1" t="s">
        <v>74</v>
      </c>
      <c r="AR849" s="1" t="s">
        <v>74</v>
      </c>
      <c r="AS849" s="1" t="s">
        <v>74</v>
      </c>
      <c r="AT849" s="1" t="s">
        <v>7346</v>
      </c>
      <c r="AU849" s="1">
        <v>2015.0</v>
      </c>
      <c r="AV849" s="1">
        <v>42.0</v>
      </c>
      <c r="AW849" s="1">
        <v>4.0</v>
      </c>
      <c r="AX849" s="1" t="s">
        <v>74</v>
      </c>
      <c r="AY849" s="1" t="s">
        <v>74</v>
      </c>
      <c r="AZ849" s="1" t="s">
        <v>74</v>
      </c>
      <c r="BA849" s="1" t="s">
        <v>74</v>
      </c>
      <c r="BB849" s="1">
        <v>1259.0</v>
      </c>
      <c r="BC849" s="1">
        <v>1267.0</v>
      </c>
      <c r="BD849" s="1" t="s">
        <v>74</v>
      </c>
      <c r="BE849" s="1" t="s">
        <v>8471</v>
      </c>
      <c r="BF849" s="2" t="str">
        <f>HYPERLINK("http://dx.doi.org/10.1002/2014GL062285","http://dx.doi.org/10.1002/2014GL062285")</f>
        <v>http://dx.doi.org/10.1002/2014GL062285</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8472</v>
      </c>
      <c r="BT849" s="1" t="str">
        <f>HYPERLINK("https%3A%2F%2Fwww.webofscience.com%2Fwos%2Fwoscc%2Ffull-record%2FWOS:000351851900037","View Full Record in Web of Science")</f>
        <v>View Full Record in Web of Science</v>
      </c>
    </row>
    <row r="850" ht="12.75" customHeight="1">
      <c r="A850" s="1" t="s">
        <v>72</v>
      </c>
      <c r="B850" s="1" t="s">
        <v>8473</v>
      </c>
      <c r="C850" s="1" t="s">
        <v>74</v>
      </c>
      <c r="D850" s="1" t="s">
        <v>74</v>
      </c>
      <c r="E850" s="1" t="s">
        <v>74</v>
      </c>
      <c r="F850" s="1" t="s">
        <v>8474</v>
      </c>
      <c r="G850" s="1" t="s">
        <v>74</v>
      </c>
      <c r="H850" s="1" t="s">
        <v>74</v>
      </c>
      <c r="I850" s="1" t="s">
        <v>8475</v>
      </c>
      <c r="J850" s="1" t="s">
        <v>8476</v>
      </c>
      <c r="K850" s="1" t="s">
        <v>74</v>
      </c>
      <c r="L850" s="1" t="s">
        <v>74</v>
      </c>
      <c r="M850" s="1" t="s">
        <v>74</v>
      </c>
      <c r="N850" s="1" t="s">
        <v>74</v>
      </c>
      <c r="O850" s="1" t="s">
        <v>74</v>
      </c>
      <c r="P850" s="1" t="s">
        <v>74</v>
      </c>
      <c r="Q850" s="1" t="s">
        <v>74</v>
      </c>
      <c r="R850" s="1" t="s">
        <v>74</v>
      </c>
      <c r="S850" s="1" t="s">
        <v>74</v>
      </c>
      <c r="T850" s="1" t="s">
        <v>74</v>
      </c>
      <c r="U850" s="1" t="s">
        <v>74</v>
      </c>
      <c r="V850" s="1" t="s">
        <v>8477</v>
      </c>
      <c r="W850" s="1" t="s">
        <v>74</v>
      </c>
      <c r="X850" s="1" t="s">
        <v>74</v>
      </c>
      <c r="Y850" s="1" t="s">
        <v>74</v>
      </c>
      <c r="Z850" s="1" t="s">
        <v>74</v>
      </c>
      <c r="AA850" s="1" t="s">
        <v>8478</v>
      </c>
      <c r="AB850" s="1" t="s">
        <v>8479</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74</v>
      </c>
      <c r="AP850" s="1" t="s">
        <v>8480</v>
      </c>
      <c r="AQ850" s="1" t="s">
        <v>74</v>
      </c>
      <c r="AR850" s="1" t="s">
        <v>74</v>
      </c>
      <c r="AS850" s="1" t="s">
        <v>74</v>
      </c>
      <c r="AT850" s="1" t="s">
        <v>106</v>
      </c>
      <c r="AU850" s="1">
        <v>2022.0</v>
      </c>
      <c r="AV850" s="1">
        <v>24.0</v>
      </c>
      <c r="AW850" s="1">
        <v>11.0</v>
      </c>
      <c r="AX850" s="1" t="s">
        <v>74</v>
      </c>
      <c r="AY850" s="1" t="s">
        <v>74</v>
      </c>
      <c r="AZ850" s="1" t="s">
        <v>74</v>
      </c>
      <c r="BA850" s="1" t="s">
        <v>74</v>
      </c>
      <c r="BB850" s="1" t="s">
        <v>74</v>
      </c>
      <c r="BC850" s="1" t="s">
        <v>74</v>
      </c>
      <c r="BD850" s="1">
        <v>1507.0</v>
      </c>
      <c r="BE850" s="1" t="s">
        <v>8481</v>
      </c>
      <c r="BF850" s="2" t="str">
        <f>HYPERLINK("http://dx.doi.org/10.3390/e24111507","http://dx.doi.org/10.3390/e24111507")</f>
        <v>http://dx.doi.org/10.3390/e24111507</v>
      </c>
      <c r="BG850" s="1" t="s">
        <v>74</v>
      </c>
      <c r="BH850" s="1" t="s">
        <v>74</v>
      </c>
      <c r="BI850" s="1" t="s">
        <v>74</v>
      </c>
      <c r="BJ850" s="1" t="s">
        <v>74</v>
      </c>
      <c r="BK850" s="1" t="s">
        <v>74</v>
      </c>
      <c r="BL850" s="1" t="s">
        <v>74</v>
      </c>
      <c r="BM850" s="1" t="s">
        <v>74</v>
      </c>
      <c r="BN850" s="1">
        <v>3.63596E7</v>
      </c>
      <c r="BO850" s="1" t="s">
        <v>74</v>
      </c>
      <c r="BP850" s="1" t="s">
        <v>74</v>
      </c>
      <c r="BQ850" s="1" t="s">
        <v>74</v>
      </c>
      <c r="BR850" s="1" t="s">
        <v>74</v>
      </c>
      <c r="BS850" s="1" t="s">
        <v>8482</v>
      </c>
      <c r="BT850" s="1" t="str">
        <f>HYPERLINK("https%3A%2F%2Fwww.webofscience.com%2Fwos%2Fwoscc%2Ffull-record%2FWOS:000881226500001","View Full Record in Web of Science")</f>
        <v>View Full Record in Web of Science</v>
      </c>
    </row>
    <row r="851" ht="12.75" customHeight="1">
      <c r="A851" s="1" t="s">
        <v>72</v>
      </c>
      <c r="B851" s="1" t="s">
        <v>8483</v>
      </c>
      <c r="C851" s="1" t="s">
        <v>74</v>
      </c>
      <c r="D851" s="1" t="s">
        <v>74</v>
      </c>
      <c r="E851" s="1" t="s">
        <v>74</v>
      </c>
      <c r="F851" s="1" t="s">
        <v>8484</v>
      </c>
      <c r="G851" s="1" t="s">
        <v>74</v>
      </c>
      <c r="H851" s="1" t="s">
        <v>74</v>
      </c>
      <c r="I851" s="1" t="s">
        <v>8485</v>
      </c>
      <c r="J851" s="1" t="s">
        <v>3522</v>
      </c>
      <c r="K851" s="1" t="s">
        <v>74</v>
      </c>
      <c r="L851" s="1" t="s">
        <v>74</v>
      </c>
      <c r="M851" s="1" t="s">
        <v>74</v>
      </c>
      <c r="N851" s="1" t="s">
        <v>74</v>
      </c>
      <c r="O851" s="1" t="s">
        <v>74</v>
      </c>
      <c r="P851" s="1" t="s">
        <v>74</v>
      </c>
      <c r="Q851" s="1" t="s">
        <v>74</v>
      </c>
      <c r="R851" s="1" t="s">
        <v>74</v>
      </c>
      <c r="S851" s="1" t="s">
        <v>74</v>
      </c>
      <c r="T851" s="1" t="s">
        <v>74</v>
      </c>
      <c r="U851" s="1" t="s">
        <v>74</v>
      </c>
      <c r="V851" s="1" t="s">
        <v>8486</v>
      </c>
      <c r="W851" s="1" t="s">
        <v>74</v>
      </c>
      <c r="X851" s="1" t="s">
        <v>74</v>
      </c>
      <c r="Y851" s="1" t="s">
        <v>74</v>
      </c>
      <c r="Z851" s="1" t="s">
        <v>74</v>
      </c>
      <c r="AA851" s="1" t="s">
        <v>8487</v>
      </c>
      <c r="AB851" s="1" t="s">
        <v>8488</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3526</v>
      </c>
      <c r="AP851" s="1" t="s">
        <v>3527</v>
      </c>
      <c r="AQ851" s="1" t="s">
        <v>74</v>
      </c>
      <c r="AR851" s="1" t="s">
        <v>74</v>
      </c>
      <c r="AS851" s="1" t="s">
        <v>74</v>
      </c>
      <c r="AT851" s="1" t="s">
        <v>392</v>
      </c>
      <c r="AU851" s="1">
        <v>2022.0</v>
      </c>
      <c r="AV851" s="1">
        <v>10.0</v>
      </c>
      <c r="AW851" s="1">
        <v>2.0</v>
      </c>
      <c r="AX851" s="1" t="s">
        <v>74</v>
      </c>
      <c r="AY851" s="1" t="s">
        <v>74</v>
      </c>
      <c r="AZ851" s="1" t="s">
        <v>74</v>
      </c>
      <c r="BA851" s="1" t="s">
        <v>74</v>
      </c>
      <c r="BB851" s="1" t="s">
        <v>74</v>
      </c>
      <c r="BC851" s="1" t="s">
        <v>74</v>
      </c>
      <c r="BD851" s="1">
        <v>107243.0</v>
      </c>
      <c r="BE851" s="1" t="s">
        <v>8489</v>
      </c>
      <c r="BF851" s="2" t="str">
        <f>HYPERLINK("http://dx.doi.org/10.1016/j.jece.2022.107243","http://dx.doi.org/10.1016/j.jece.2022.107243")</f>
        <v>http://dx.doi.org/10.1016/j.jece.2022.107243</v>
      </c>
      <c r="BG851" s="1" t="s">
        <v>74</v>
      </c>
      <c r="BH851" s="1" t="s">
        <v>1519</v>
      </c>
      <c r="BI851" s="1" t="s">
        <v>74</v>
      </c>
      <c r="BJ851" s="1" t="s">
        <v>74</v>
      </c>
      <c r="BK851" s="1" t="s">
        <v>74</v>
      </c>
      <c r="BL851" s="1" t="s">
        <v>74</v>
      </c>
      <c r="BM851" s="1" t="s">
        <v>74</v>
      </c>
      <c r="BN851" s="1" t="s">
        <v>74</v>
      </c>
      <c r="BO851" s="1" t="s">
        <v>74</v>
      </c>
      <c r="BP851" s="1" t="s">
        <v>74</v>
      </c>
      <c r="BQ851" s="1" t="s">
        <v>74</v>
      </c>
      <c r="BR851" s="1" t="s">
        <v>74</v>
      </c>
      <c r="BS851" s="1" t="s">
        <v>8490</v>
      </c>
      <c r="BT851" s="1" t="str">
        <f>HYPERLINK("https%3A%2F%2Fwww.webofscience.com%2Fwos%2Fwoscc%2Ffull-record%2FWOS:000789171400004","View Full Record in Web of Science")</f>
        <v>View Full Record in Web of Science</v>
      </c>
    </row>
    <row r="852" ht="12.75" customHeight="1">
      <c r="A852" s="1" t="s">
        <v>72</v>
      </c>
      <c r="B852" s="1" t="s">
        <v>8491</v>
      </c>
      <c r="C852" s="1" t="s">
        <v>74</v>
      </c>
      <c r="D852" s="1" t="s">
        <v>74</v>
      </c>
      <c r="E852" s="1" t="s">
        <v>74</v>
      </c>
      <c r="F852" s="1" t="s">
        <v>8492</v>
      </c>
      <c r="G852" s="1" t="s">
        <v>74</v>
      </c>
      <c r="H852" s="1" t="s">
        <v>74</v>
      </c>
      <c r="I852" s="1" t="s">
        <v>8493</v>
      </c>
      <c r="J852" s="1" t="s">
        <v>821</v>
      </c>
      <c r="K852" s="1" t="s">
        <v>74</v>
      </c>
      <c r="L852" s="1" t="s">
        <v>74</v>
      </c>
      <c r="M852" s="1" t="s">
        <v>74</v>
      </c>
      <c r="N852" s="1" t="s">
        <v>74</v>
      </c>
      <c r="O852" s="1" t="s">
        <v>74</v>
      </c>
      <c r="P852" s="1" t="s">
        <v>74</v>
      </c>
      <c r="Q852" s="1" t="s">
        <v>74</v>
      </c>
      <c r="R852" s="1" t="s">
        <v>74</v>
      </c>
      <c r="S852" s="1" t="s">
        <v>74</v>
      </c>
      <c r="T852" s="1" t="s">
        <v>74</v>
      </c>
      <c r="U852" s="1" t="s">
        <v>74</v>
      </c>
      <c r="V852" s="1" t="s">
        <v>8494</v>
      </c>
      <c r="W852" s="1" t="s">
        <v>74</v>
      </c>
      <c r="X852" s="1" t="s">
        <v>74</v>
      </c>
      <c r="Y852" s="1" t="s">
        <v>74</v>
      </c>
      <c r="Z852" s="1" t="s">
        <v>74</v>
      </c>
      <c r="AA852" s="1" t="s">
        <v>8495</v>
      </c>
      <c r="AB852" s="1" t="s">
        <v>8496</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74</v>
      </c>
      <c r="AP852" s="1" t="s">
        <v>825</v>
      </c>
      <c r="AQ852" s="1" t="s">
        <v>74</v>
      </c>
      <c r="AR852" s="1" t="s">
        <v>74</v>
      </c>
      <c r="AS852" s="1" t="s">
        <v>74</v>
      </c>
      <c r="AT852" s="1" t="s">
        <v>3816</v>
      </c>
      <c r="AU852" s="1">
        <v>2022.0</v>
      </c>
      <c r="AV852" s="1">
        <v>9.0</v>
      </c>
      <c r="AW852" s="1" t="s">
        <v>74</v>
      </c>
      <c r="AX852" s="1" t="s">
        <v>74</v>
      </c>
      <c r="AY852" s="1" t="s">
        <v>74</v>
      </c>
      <c r="AZ852" s="1" t="s">
        <v>74</v>
      </c>
      <c r="BA852" s="1" t="s">
        <v>74</v>
      </c>
      <c r="BB852" s="1" t="s">
        <v>74</v>
      </c>
      <c r="BC852" s="1" t="s">
        <v>74</v>
      </c>
      <c r="BD852" s="1">
        <v>799870.0</v>
      </c>
      <c r="BE852" s="1" t="s">
        <v>8497</v>
      </c>
      <c r="BF852" s="2" t="str">
        <f>HYPERLINK("http://dx.doi.org/10.3389/fpubh.2021.799870","http://dx.doi.org/10.3389/fpubh.2021.799870")</f>
        <v>http://dx.doi.org/10.3389/fpubh.2021.799870</v>
      </c>
      <c r="BG852" s="1" t="s">
        <v>74</v>
      </c>
      <c r="BH852" s="1" t="s">
        <v>74</v>
      </c>
      <c r="BI852" s="1" t="s">
        <v>74</v>
      </c>
      <c r="BJ852" s="1" t="s">
        <v>74</v>
      </c>
      <c r="BK852" s="1" t="s">
        <v>74</v>
      </c>
      <c r="BL852" s="1" t="s">
        <v>74</v>
      </c>
      <c r="BM852" s="1" t="s">
        <v>74</v>
      </c>
      <c r="BN852" s="1">
        <v>3.5096747E7</v>
      </c>
      <c r="BO852" s="1" t="s">
        <v>74</v>
      </c>
      <c r="BP852" s="1" t="s">
        <v>74</v>
      </c>
      <c r="BQ852" s="1" t="s">
        <v>74</v>
      </c>
      <c r="BR852" s="1" t="s">
        <v>74</v>
      </c>
      <c r="BS852" s="1" t="s">
        <v>8498</v>
      </c>
      <c r="BT852" s="1" t="str">
        <f>HYPERLINK("https%3A%2F%2Fwww.webofscience.com%2Fwos%2Fwoscc%2Ffull-record%2FWOS:000747915700001","View Full Record in Web of Science")</f>
        <v>View Full Record in Web of Science</v>
      </c>
    </row>
    <row r="853" ht="12.75" customHeight="1">
      <c r="A853" s="1" t="s">
        <v>72</v>
      </c>
      <c r="B853" s="1" t="s">
        <v>8499</v>
      </c>
      <c r="C853" s="1" t="s">
        <v>74</v>
      </c>
      <c r="D853" s="1" t="s">
        <v>74</v>
      </c>
      <c r="E853" s="1" t="s">
        <v>74</v>
      </c>
      <c r="F853" s="1" t="s">
        <v>8500</v>
      </c>
      <c r="G853" s="1" t="s">
        <v>74</v>
      </c>
      <c r="H853" s="1" t="s">
        <v>74</v>
      </c>
      <c r="I853" s="1" t="s">
        <v>8501</v>
      </c>
      <c r="J853" s="1" t="s">
        <v>2141</v>
      </c>
      <c r="K853" s="1" t="s">
        <v>74</v>
      </c>
      <c r="L853" s="1" t="s">
        <v>74</v>
      </c>
      <c r="M853" s="1" t="s">
        <v>74</v>
      </c>
      <c r="N853" s="1" t="s">
        <v>74</v>
      </c>
      <c r="O853" s="1" t="s">
        <v>74</v>
      </c>
      <c r="P853" s="1" t="s">
        <v>74</v>
      </c>
      <c r="Q853" s="1" t="s">
        <v>74</v>
      </c>
      <c r="R853" s="1" t="s">
        <v>74</v>
      </c>
      <c r="S853" s="1" t="s">
        <v>74</v>
      </c>
      <c r="T853" s="1" t="s">
        <v>74</v>
      </c>
      <c r="U853" s="1" t="s">
        <v>74</v>
      </c>
      <c r="V853" s="1" t="s">
        <v>8502</v>
      </c>
      <c r="W853" s="1" t="s">
        <v>74</v>
      </c>
      <c r="X853" s="1" t="s">
        <v>74</v>
      </c>
      <c r="Y853" s="1" t="s">
        <v>74</v>
      </c>
      <c r="Z853" s="1" t="s">
        <v>74</v>
      </c>
      <c r="AA853" s="1" t="s">
        <v>8503</v>
      </c>
      <c r="AB853" s="1" t="s">
        <v>8504</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2145</v>
      </c>
      <c r="AP853" s="1" t="s">
        <v>2146</v>
      </c>
      <c r="AQ853" s="1" t="s">
        <v>74</v>
      </c>
      <c r="AR853" s="1" t="s">
        <v>74</v>
      </c>
      <c r="AS853" s="1" t="s">
        <v>74</v>
      </c>
      <c r="AT853" s="1" t="s">
        <v>4659</v>
      </c>
      <c r="AU853" s="1">
        <v>2024.0</v>
      </c>
      <c r="AV853" s="1">
        <v>100.0</v>
      </c>
      <c r="AW853" s="1">
        <v>6.0</v>
      </c>
      <c r="AX853" s="1" t="s">
        <v>74</v>
      </c>
      <c r="AY853" s="1" t="s">
        <v>74</v>
      </c>
      <c r="AZ853" s="1" t="s">
        <v>74</v>
      </c>
      <c r="BA853" s="1" t="s">
        <v>74</v>
      </c>
      <c r="BB853" s="1">
        <v>660.0</v>
      </c>
      <c r="BC853" s="1">
        <v>666.0</v>
      </c>
      <c r="BD853" s="1" t="s">
        <v>74</v>
      </c>
      <c r="BE853" s="1" t="s">
        <v>8505</v>
      </c>
      <c r="BF853" s="2" t="str">
        <f>HYPERLINK("http://dx.doi.org/10.1016/j.jped.2024.06.010","http://dx.doi.org/10.1016/j.jped.2024.06.010")</f>
        <v>http://dx.doi.org/10.1016/j.jped.2024.06.010</v>
      </c>
      <c r="BG853" s="1" t="s">
        <v>74</v>
      </c>
      <c r="BH853" s="1" t="s">
        <v>6034</v>
      </c>
      <c r="BI853" s="1" t="s">
        <v>74</v>
      </c>
      <c r="BJ853" s="1" t="s">
        <v>74</v>
      </c>
      <c r="BK853" s="1" t="s">
        <v>74</v>
      </c>
      <c r="BL853" s="1" t="s">
        <v>74</v>
      </c>
      <c r="BM853" s="1" t="s">
        <v>74</v>
      </c>
      <c r="BN853" s="1">
        <v>3.9128827E7</v>
      </c>
      <c r="BO853" s="1" t="s">
        <v>74</v>
      </c>
      <c r="BP853" s="1" t="s">
        <v>74</v>
      </c>
      <c r="BQ853" s="1" t="s">
        <v>74</v>
      </c>
      <c r="BR853" s="1" t="s">
        <v>74</v>
      </c>
      <c r="BS853" s="1" t="s">
        <v>8506</v>
      </c>
      <c r="BT853" s="1" t="str">
        <f>HYPERLINK("https%3A%2F%2Fwww.webofscience.com%2Fwos%2Fwoscc%2Ffull-record%2FWOS:001329745500001","View Full Record in Web of Science")</f>
        <v>View Full Record in Web of Science</v>
      </c>
    </row>
    <row r="854" ht="12.75" customHeight="1">
      <c r="A854" s="1" t="s">
        <v>72</v>
      </c>
      <c r="B854" s="1" t="s">
        <v>8507</v>
      </c>
      <c r="C854" s="1" t="s">
        <v>74</v>
      </c>
      <c r="D854" s="1" t="s">
        <v>74</v>
      </c>
      <c r="E854" s="1" t="s">
        <v>74</v>
      </c>
      <c r="F854" s="1" t="s">
        <v>8508</v>
      </c>
      <c r="G854" s="1" t="s">
        <v>74</v>
      </c>
      <c r="H854" s="1" t="s">
        <v>74</v>
      </c>
      <c r="I854" s="1" t="s">
        <v>8509</v>
      </c>
      <c r="J854" s="1" t="s">
        <v>147</v>
      </c>
      <c r="K854" s="1" t="s">
        <v>74</v>
      </c>
      <c r="L854" s="1" t="s">
        <v>74</v>
      </c>
      <c r="M854" s="1" t="s">
        <v>74</v>
      </c>
      <c r="N854" s="1" t="s">
        <v>74</v>
      </c>
      <c r="O854" s="1" t="s">
        <v>74</v>
      </c>
      <c r="P854" s="1" t="s">
        <v>74</v>
      </c>
      <c r="Q854" s="1" t="s">
        <v>74</v>
      </c>
      <c r="R854" s="1" t="s">
        <v>74</v>
      </c>
      <c r="S854" s="1" t="s">
        <v>74</v>
      </c>
      <c r="T854" s="1" t="s">
        <v>74</v>
      </c>
      <c r="U854" s="1" t="s">
        <v>74</v>
      </c>
      <c r="V854" s="1" t="s">
        <v>8510</v>
      </c>
      <c r="W854" s="1" t="s">
        <v>74</v>
      </c>
      <c r="X854" s="1" t="s">
        <v>74</v>
      </c>
      <c r="Y854" s="1" t="s">
        <v>74</v>
      </c>
      <c r="Z854" s="1" t="s">
        <v>74</v>
      </c>
      <c r="AA854" s="1" t="s">
        <v>8511</v>
      </c>
      <c r="AB854" s="1" t="s">
        <v>8512</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151</v>
      </c>
      <c r="AP854" s="1" t="s">
        <v>74</v>
      </c>
      <c r="AQ854" s="1" t="s">
        <v>74</v>
      </c>
      <c r="AR854" s="1" t="s">
        <v>74</v>
      </c>
      <c r="AS854" s="1" t="s">
        <v>74</v>
      </c>
      <c r="AT854" s="1" t="s">
        <v>2301</v>
      </c>
      <c r="AU854" s="1">
        <v>2023.0</v>
      </c>
      <c r="AV854" s="1">
        <v>18.0</v>
      </c>
      <c r="AW854" s="1">
        <v>7.0</v>
      </c>
      <c r="AX854" s="1" t="s">
        <v>74</v>
      </c>
      <c r="AY854" s="1" t="s">
        <v>74</v>
      </c>
      <c r="AZ854" s="1" t="s">
        <v>74</v>
      </c>
      <c r="BA854" s="1" t="s">
        <v>74</v>
      </c>
      <c r="BB854" s="1" t="s">
        <v>74</v>
      </c>
      <c r="BC854" s="1" t="s">
        <v>74</v>
      </c>
      <c r="BD854" s="1" t="s">
        <v>8513</v>
      </c>
      <c r="BE854" s="1" t="s">
        <v>8514</v>
      </c>
      <c r="BF854" s="2" t="str">
        <f>HYPERLINK("http://dx.doi.org/10.1371/journal.pone.0288227","http://dx.doi.org/10.1371/journal.pone.0288227")</f>
        <v>http://dx.doi.org/10.1371/journal.pone.0288227</v>
      </c>
      <c r="BG854" s="1" t="s">
        <v>74</v>
      </c>
      <c r="BH854" s="1" t="s">
        <v>74</v>
      </c>
      <c r="BI854" s="1" t="s">
        <v>74</v>
      </c>
      <c r="BJ854" s="1" t="s">
        <v>74</v>
      </c>
      <c r="BK854" s="1" t="s">
        <v>74</v>
      </c>
      <c r="BL854" s="1" t="s">
        <v>74</v>
      </c>
      <c r="BM854" s="1" t="s">
        <v>74</v>
      </c>
      <c r="BN854" s="1">
        <v>3.7418479E7</v>
      </c>
      <c r="BO854" s="1" t="s">
        <v>74</v>
      </c>
      <c r="BP854" s="1" t="s">
        <v>74</v>
      </c>
      <c r="BQ854" s="1" t="s">
        <v>74</v>
      </c>
      <c r="BR854" s="1" t="s">
        <v>74</v>
      </c>
      <c r="BS854" s="1" t="s">
        <v>8515</v>
      </c>
      <c r="BT854" s="1" t="str">
        <f>HYPERLINK("https%3A%2F%2Fwww.webofscience.com%2Fwos%2Fwoscc%2Ffull-record%2FWOS:001025438900023","View Full Record in Web of Science")</f>
        <v>View Full Record in Web of Science</v>
      </c>
    </row>
    <row r="855" ht="12.75" customHeight="1">
      <c r="A855" s="1" t="s">
        <v>72</v>
      </c>
      <c r="B855" s="1" t="s">
        <v>8516</v>
      </c>
      <c r="C855" s="1" t="s">
        <v>74</v>
      </c>
      <c r="D855" s="1" t="s">
        <v>74</v>
      </c>
      <c r="E855" s="1" t="s">
        <v>74</v>
      </c>
      <c r="F855" s="1" t="s">
        <v>8517</v>
      </c>
      <c r="G855" s="1" t="s">
        <v>74</v>
      </c>
      <c r="H855" s="1" t="s">
        <v>74</v>
      </c>
      <c r="I855" s="1" t="s">
        <v>8518</v>
      </c>
      <c r="J855" s="1" t="s">
        <v>2845</v>
      </c>
      <c r="K855" s="1" t="s">
        <v>74</v>
      </c>
      <c r="L855" s="1" t="s">
        <v>74</v>
      </c>
      <c r="M855" s="1" t="s">
        <v>74</v>
      </c>
      <c r="N855" s="1" t="s">
        <v>74</v>
      </c>
      <c r="O855" s="1" t="s">
        <v>74</v>
      </c>
      <c r="P855" s="1" t="s">
        <v>74</v>
      </c>
      <c r="Q855" s="1" t="s">
        <v>74</v>
      </c>
      <c r="R855" s="1" t="s">
        <v>74</v>
      </c>
      <c r="S855" s="1" t="s">
        <v>74</v>
      </c>
      <c r="T855" s="1" t="s">
        <v>74</v>
      </c>
      <c r="U855" s="1" t="s">
        <v>74</v>
      </c>
      <c r="V855" s="1" t="s">
        <v>8519</v>
      </c>
      <c r="W855" s="1" t="s">
        <v>74</v>
      </c>
      <c r="X855" s="1" t="s">
        <v>74</v>
      </c>
      <c r="Y855" s="1" t="s">
        <v>74</v>
      </c>
      <c r="Z855" s="1" t="s">
        <v>74</v>
      </c>
      <c r="AA855" s="1" t="s">
        <v>8520</v>
      </c>
      <c r="AB855" s="1" t="s">
        <v>8521</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2849</v>
      </c>
      <c r="AP855" s="1" t="s">
        <v>2850</v>
      </c>
      <c r="AQ855" s="1" t="s">
        <v>74</v>
      </c>
      <c r="AR855" s="1" t="s">
        <v>74</v>
      </c>
      <c r="AS855" s="1" t="s">
        <v>74</v>
      </c>
      <c r="AT855" s="1" t="s">
        <v>189</v>
      </c>
      <c r="AU855" s="1">
        <v>2021.0</v>
      </c>
      <c r="AV855" s="1">
        <v>398.0</v>
      </c>
      <c r="AW855" s="1" t="s">
        <v>74</v>
      </c>
      <c r="AX855" s="1" t="s">
        <v>74</v>
      </c>
      <c r="AY855" s="1" t="s">
        <v>74</v>
      </c>
      <c r="AZ855" s="1" t="s">
        <v>74</v>
      </c>
      <c r="BA855" s="1" t="s">
        <v>74</v>
      </c>
      <c r="BB855" s="1" t="s">
        <v>74</v>
      </c>
      <c r="BC855" s="1" t="s">
        <v>74</v>
      </c>
      <c r="BD855" s="1">
        <v>139263.0</v>
      </c>
      <c r="BE855" s="1" t="s">
        <v>8522</v>
      </c>
      <c r="BF855" s="2" t="str">
        <f>HYPERLINK("http://dx.doi.org/10.1016/j.electacta.2021.139263","http://dx.doi.org/10.1016/j.electacta.2021.139263")</f>
        <v>http://dx.doi.org/10.1016/j.electacta.2021.139263</v>
      </c>
      <c r="BG855" s="1" t="s">
        <v>74</v>
      </c>
      <c r="BH855" s="1" t="s">
        <v>2840</v>
      </c>
      <c r="BI855" s="1" t="s">
        <v>74</v>
      </c>
      <c r="BJ855" s="1" t="s">
        <v>74</v>
      </c>
      <c r="BK855" s="1" t="s">
        <v>74</v>
      </c>
      <c r="BL855" s="1" t="s">
        <v>74</v>
      </c>
      <c r="BM855" s="1" t="s">
        <v>74</v>
      </c>
      <c r="BN855" s="1" t="s">
        <v>74</v>
      </c>
      <c r="BO855" s="1" t="s">
        <v>74</v>
      </c>
      <c r="BP855" s="1" t="s">
        <v>74</v>
      </c>
      <c r="BQ855" s="1" t="s">
        <v>74</v>
      </c>
      <c r="BR855" s="1" t="s">
        <v>74</v>
      </c>
      <c r="BS855" s="1" t="s">
        <v>8523</v>
      </c>
      <c r="BT855" s="1" t="str">
        <f>HYPERLINK("https%3A%2F%2Fwww.webofscience.com%2Fwos%2Fwoscc%2Ffull-record%2FWOS:000711234100008","View Full Record in Web of Science")</f>
        <v>View Full Record in Web of Science</v>
      </c>
    </row>
    <row r="856" ht="12.75" customHeight="1">
      <c r="A856" s="1" t="s">
        <v>72</v>
      </c>
      <c r="B856" s="1" t="s">
        <v>8524</v>
      </c>
      <c r="C856" s="1" t="s">
        <v>74</v>
      </c>
      <c r="D856" s="1" t="s">
        <v>74</v>
      </c>
      <c r="E856" s="1" t="s">
        <v>74</v>
      </c>
      <c r="F856" s="1" t="s">
        <v>8525</v>
      </c>
      <c r="G856" s="1" t="s">
        <v>74</v>
      </c>
      <c r="H856" s="1" t="s">
        <v>74</v>
      </c>
      <c r="I856" s="1" t="s">
        <v>8526</v>
      </c>
      <c r="J856" s="1" t="s">
        <v>2479</v>
      </c>
      <c r="K856" s="1" t="s">
        <v>74</v>
      </c>
      <c r="L856" s="1" t="s">
        <v>74</v>
      </c>
      <c r="M856" s="1" t="s">
        <v>74</v>
      </c>
      <c r="N856" s="1" t="s">
        <v>74</v>
      </c>
      <c r="O856" s="1" t="s">
        <v>74</v>
      </c>
      <c r="P856" s="1" t="s">
        <v>74</v>
      </c>
      <c r="Q856" s="1" t="s">
        <v>74</v>
      </c>
      <c r="R856" s="1" t="s">
        <v>74</v>
      </c>
      <c r="S856" s="1" t="s">
        <v>74</v>
      </c>
      <c r="T856" s="1" t="s">
        <v>74</v>
      </c>
      <c r="U856" s="1" t="s">
        <v>74</v>
      </c>
      <c r="V856" s="1" t="s">
        <v>8527</v>
      </c>
      <c r="W856" s="1" t="s">
        <v>74</v>
      </c>
      <c r="X856" s="1" t="s">
        <v>74</v>
      </c>
      <c r="Y856" s="1" t="s">
        <v>74</v>
      </c>
      <c r="Z856" s="1" t="s">
        <v>74</v>
      </c>
      <c r="AA856" s="1" t="s">
        <v>8528</v>
      </c>
      <c r="AB856" s="1" t="s">
        <v>8529</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2483</v>
      </c>
      <c r="AP856" s="1" t="s">
        <v>74</v>
      </c>
      <c r="AQ856" s="1" t="s">
        <v>74</v>
      </c>
      <c r="AR856" s="1" t="s">
        <v>74</v>
      </c>
      <c r="AS856" s="1" t="s">
        <v>74</v>
      </c>
      <c r="AT856" s="1" t="s">
        <v>8530</v>
      </c>
      <c r="AU856" s="1">
        <v>2021.0</v>
      </c>
      <c r="AV856" s="1">
        <v>12.0</v>
      </c>
      <c r="AW856" s="1" t="s">
        <v>74</v>
      </c>
      <c r="AX856" s="1" t="s">
        <v>74</v>
      </c>
      <c r="AY856" s="1" t="s">
        <v>74</v>
      </c>
      <c r="AZ856" s="1" t="s">
        <v>74</v>
      </c>
      <c r="BA856" s="1" t="s">
        <v>74</v>
      </c>
      <c r="BB856" s="1" t="s">
        <v>74</v>
      </c>
      <c r="BC856" s="1" t="s">
        <v>74</v>
      </c>
      <c r="BD856" s="1">
        <v>642881.0</v>
      </c>
      <c r="BE856" s="1" t="s">
        <v>8531</v>
      </c>
      <c r="BF856" s="2" t="str">
        <f>HYPERLINK("http://dx.doi.org/10.3389/fphar.2021.642881","http://dx.doi.org/10.3389/fphar.2021.642881")</f>
        <v>http://dx.doi.org/10.3389/fphar.2021.642881</v>
      </c>
      <c r="BG856" s="1" t="s">
        <v>74</v>
      </c>
      <c r="BH856" s="1" t="s">
        <v>74</v>
      </c>
      <c r="BI856" s="1" t="s">
        <v>74</v>
      </c>
      <c r="BJ856" s="1" t="s">
        <v>74</v>
      </c>
      <c r="BK856" s="1" t="s">
        <v>74</v>
      </c>
      <c r="BL856" s="1" t="s">
        <v>74</v>
      </c>
      <c r="BM856" s="1" t="s">
        <v>74</v>
      </c>
      <c r="BN856" s="1">
        <v>3.3841159E7</v>
      </c>
      <c r="BO856" s="1" t="s">
        <v>74</v>
      </c>
      <c r="BP856" s="1" t="s">
        <v>74</v>
      </c>
      <c r="BQ856" s="1" t="s">
        <v>74</v>
      </c>
      <c r="BR856" s="1" t="s">
        <v>74</v>
      </c>
      <c r="BS856" s="1" t="s">
        <v>8532</v>
      </c>
      <c r="BT856" s="1" t="str">
        <f>HYPERLINK("https%3A%2F%2Fwww.webofscience.com%2Fwos%2Fwoscc%2Ffull-record%2FWOS:000637308500001","View Full Record in Web of Science")</f>
        <v>View Full Record in Web of Science</v>
      </c>
    </row>
    <row r="857" ht="12.75" customHeight="1">
      <c r="A857" s="1" t="s">
        <v>72</v>
      </c>
      <c r="B857" s="1" t="s">
        <v>8533</v>
      </c>
      <c r="C857" s="1" t="s">
        <v>74</v>
      </c>
      <c r="D857" s="1" t="s">
        <v>74</v>
      </c>
      <c r="E857" s="1" t="s">
        <v>74</v>
      </c>
      <c r="F857" s="1" t="s">
        <v>8534</v>
      </c>
      <c r="G857" s="1" t="s">
        <v>74</v>
      </c>
      <c r="H857" s="1" t="s">
        <v>74</v>
      </c>
      <c r="I857" s="1" t="s">
        <v>8535</v>
      </c>
      <c r="J857" s="1" t="s">
        <v>2490</v>
      </c>
      <c r="K857" s="1" t="s">
        <v>74</v>
      </c>
      <c r="L857" s="1" t="s">
        <v>74</v>
      </c>
      <c r="M857" s="1" t="s">
        <v>74</v>
      </c>
      <c r="N857" s="1" t="s">
        <v>74</v>
      </c>
      <c r="O857" s="1" t="s">
        <v>74</v>
      </c>
      <c r="P857" s="1" t="s">
        <v>74</v>
      </c>
      <c r="Q857" s="1" t="s">
        <v>74</v>
      </c>
      <c r="R857" s="1" t="s">
        <v>74</v>
      </c>
      <c r="S857" s="1" t="s">
        <v>74</v>
      </c>
      <c r="T857" s="1" t="s">
        <v>74</v>
      </c>
      <c r="U857" s="1" t="s">
        <v>74</v>
      </c>
      <c r="V857" s="1" t="s">
        <v>8536</v>
      </c>
      <c r="W857" s="1" t="s">
        <v>74</v>
      </c>
      <c r="X857" s="1" t="s">
        <v>74</v>
      </c>
      <c r="Y857" s="1" t="s">
        <v>74</v>
      </c>
      <c r="Z857" s="1" t="s">
        <v>74</v>
      </c>
      <c r="AA857" s="1" t="s">
        <v>8537</v>
      </c>
      <c r="AB857" s="1" t="s">
        <v>8538</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2494</v>
      </c>
      <c r="AP857" s="1" t="s">
        <v>2495</v>
      </c>
      <c r="AQ857" s="1" t="s">
        <v>74</v>
      </c>
      <c r="AR857" s="1" t="s">
        <v>74</v>
      </c>
      <c r="AS857" s="1" t="s">
        <v>74</v>
      </c>
      <c r="AT857" s="1" t="s">
        <v>4534</v>
      </c>
      <c r="AU857" s="1">
        <v>2024.0</v>
      </c>
      <c r="AV857" s="1">
        <v>51.0</v>
      </c>
      <c r="AW857" s="1">
        <v>19.0</v>
      </c>
      <c r="AX857" s="1" t="s">
        <v>74</v>
      </c>
      <c r="AY857" s="1" t="s">
        <v>74</v>
      </c>
      <c r="AZ857" s="1" t="s">
        <v>74</v>
      </c>
      <c r="BA857" s="1" t="s">
        <v>74</v>
      </c>
      <c r="BB857" s="1" t="s">
        <v>74</v>
      </c>
      <c r="BC857" s="1" t="s">
        <v>74</v>
      </c>
      <c r="BD857" s="1" t="s">
        <v>8539</v>
      </c>
      <c r="BE857" s="1" t="s">
        <v>8540</v>
      </c>
      <c r="BF857" s="2" t="str">
        <f>HYPERLINK("http://dx.doi.org/10.1029/2024GL110568","http://dx.doi.org/10.1029/2024GL110568")</f>
        <v>http://dx.doi.org/10.1029/2024GL110568</v>
      </c>
      <c r="BG857" s="1" t="s">
        <v>74</v>
      </c>
      <c r="BH857" s="1" t="s">
        <v>74</v>
      </c>
      <c r="BI857" s="1" t="s">
        <v>74</v>
      </c>
      <c r="BJ857" s="1" t="s">
        <v>74</v>
      </c>
      <c r="BK857" s="1" t="s">
        <v>74</v>
      </c>
      <c r="BL857" s="1" t="s">
        <v>74</v>
      </c>
      <c r="BM857" s="1" t="s">
        <v>74</v>
      </c>
      <c r="BN857" s="1" t="s">
        <v>74</v>
      </c>
      <c r="BO857" s="1" t="s">
        <v>74</v>
      </c>
      <c r="BP857" s="1" t="s">
        <v>74</v>
      </c>
      <c r="BQ857" s="1" t="s">
        <v>74</v>
      </c>
      <c r="BR857" s="1" t="s">
        <v>74</v>
      </c>
      <c r="BS857" s="1" t="s">
        <v>8541</v>
      </c>
      <c r="BT857" s="1" t="str">
        <f>HYPERLINK("https%3A%2F%2Fwww.webofscience.com%2Fwos%2Fwoscc%2Ffull-record%2FWOS:001328086500001","View Full Record in Web of Science")</f>
        <v>View Full Record in Web of Science</v>
      </c>
    </row>
    <row r="858" ht="12.75" customHeight="1">
      <c r="A858" s="1" t="s">
        <v>72</v>
      </c>
      <c r="B858" s="1" t="s">
        <v>8542</v>
      </c>
      <c r="C858" s="1" t="s">
        <v>74</v>
      </c>
      <c r="D858" s="1" t="s">
        <v>74</v>
      </c>
      <c r="E858" s="1" t="s">
        <v>74</v>
      </c>
      <c r="F858" s="1" t="s">
        <v>8543</v>
      </c>
      <c r="G858" s="1" t="s">
        <v>74</v>
      </c>
      <c r="H858" s="1" t="s">
        <v>74</v>
      </c>
      <c r="I858" s="1" t="s">
        <v>8544</v>
      </c>
      <c r="J858" s="1" t="s">
        <v>8545</v>
      </c>
      <c r="K858" s="1" t="s">
        <v>74</v>
      </c>
      <c r="L858" s="1" t="s">
        <v>74</v>
      </c>
      <c r="M858" s="1" t="s">
        <v>74</v>
      </c>
      <c r="N858" s="1" t="s">
        <v>74</v>
      </c>
      <c r="O858" s="1" t="s">
        <v>74</v>
      </c>
      <c r="P858" s="1" t="s">
        <v>74</v>
      </c>
      <c r="Q858" s="1" t="s">
        <v>74</v>
      </c>
      <c r="R858" s="1" t="s">
        <v>74</v>
      </c>
      <c r="S858" s="1" t="s">
        <v>74</v>
      </c>
      <c r="T858" s="1" t="s">
        <v>74</v>
      </c>
      <c r="U858" s="1" t="s">
        <v>74</v>
      </c>
      <c r="V858" s="1" t="s">
        <v>8546</v>
      </c>
      <c r="W858" s="1" t="s">
        <v>74</v>
      </c>
      <c r="X858" s="1" t="s">
        <v>74</v>
      </c>
      <c r="Y858" s="1" t="s">
        <v>74</v>
      </c>
      <c r="Z858" s="1" t="s">
        <v>74</v>
      </c>
      <c r="AA858" s="1" t="s">
        <v>8547</v>
      </c>
      <c r="AB858" s="1" t="s">
        <v>8548</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8549</v>
      </c>
      <c r="AP858" s="1" t="s">
        <v>74</v>
      </c>
      <c r="AQ858" s="1" t="s">
        <v>74</v>
      </c>
      <c r="AR858" s="1" t="s">
        <v>74</v>
      </c>
      <c r="AS858" s="1" t="s">
        <v>74</v>
      </c>
      <c r="AT858" s="1" t="s">
        <v>94</v>
      </c>
      <c r="AU858" s="1">
        <v>2021.0</v>
      </c>
      <c r="AV858" s="1">
        <v>3.0</v>
      </c>
      <c r="AW858" s="1">
        <v>4.0</v>
      </c>
      <c r="AX858" s="1" t="s">
        <v>74</v>
      </c>
      <c r="AY858" s="1" t="s">
        <v>74</v>
      </c>
      <c r="AZ858" s="1" t="s">
        <v>74</v>
      </c>
      <c r="BA858" s="1" t="s">
        <v>74</v>
      </c>
      <c r="BB858" s="1">
        <v>1175.0</v>
      </c>
      <c r="BC858" s="1">
        <v>1189.0</v>
      </c>
      <c r="BD858" s="1" t="s">
        <v>74</v>
      </c>
      <c r="BE858" s="1" t="s">
        <v>8550</v>
      </c>
      <c r="BF858" s="2" t="str">
        <f>HYPERLINK("http://dx.doi.org/10.3390/physics3040075","http://dx.doi.org/10.3390/physics3040075")</f>
        <v>http://dx.doi.org/10.3390/physics3040075</v>
      </c>
      <c r="BG858" s="1" t="s">
        <v>74</v>
      </c>
      <c r="BH858" s="1" t="s">
        <v>74</v>
      </c>
      <c r="BI858" s="1" t="s">
        <v>74</v>
      </c>
      <c r="BJ858" s="1" t="s">
        <v>74</v>
      </c>
      <c r="BK858" s="1" t="s">
        <v>74</v>
      </c>
      <c r="BL858" s="1" t="s">
        <v>74</v>
      </c>
      <c r="BM858" s="1" t="s">
        <v>74</v>
      </c>
      <c r="BN858" s="1" t="s">
        <v>74</v>
      </c>
      <c r="BO858" s="1" t="s">
        <v>74</v>
      </c>
      <c r="BP858" s="1" t="s">
        <v>74</v>
      </c>
      <c r="BQ858" s="1" t="s">
        <v>74</v>
      </c>
      <c r="BR858" s="1" t="s">
        <v>74</v>
      </c>
      <c r="BS858" s="1" t="s">
        <v>8551</v>
      </c>
      <c r="BT858" s="1" t="str">
        <f>HYPERLINK("https%3A%2F%2Fwww.webofscience.com%2Fwos%2Fwoscc%2Ffull-record%2FWOS:000738534600001","View Full Record in Web of Science")</f>
        <v>View Full Record in Web of Science</v>
      </c>
    </row>
    <row r="859" ht="12.75" customHeight="1">
      <c r="A859" s="1" t="s">
        <v>72</v>
      </c>
      <c r="B859" s="1" t="s">
        <v>8552</v>
      </c>
      <c r="C859" s="1" t="s">
        <v>74</v>
      </c>
      <c r="D859" s="1" t="s">
        <v>74</v>
      </c>
      <c r="E859" s="1" t="s">
        <v>74</v>
      </c>
      <c r="F859" s="1" t="s">
        <v>8553</v>
      </c>
      <c r="G859" s="1" t="s">
        <v>74</v>
      </c>
      <c r="H859" s="1" t="s">
        <v>74</v>
      </c>
      <c r="I859" s="1" t="s">
        <v>8554</v>
      </c>
      <c r="J859" s="1" t="s">
        <v>259</v>
      </c>
      <c r="K859" s="1" t="s">
        <v>74</v>
      </c>
      <c r="L859" s="1" t="s">
        <v>74</v>
      </c>
      <c r="M859" s="1" t="s">
        <v>74</v>
      </c>
      <c r="N859" s="1" t="s">
        <v>74</v>
      </c>
      <c r="O859" s="1" t="s">
        <v>74</v>
      </c>
      <c r="P859" s="1" t="s">
        <v>74</v>
      </c>
      <c r="Q859" s="1" t="s">
        <v>74</v>
      </c>
      <c r="R859" s="1" t="s">
        <v>74</v>
      </c>
      <c r="S859" s="1" t="s">
        <v>74</v>
      </c>
      <c r="T859" s="1" t="s">
        <v>74</v>
      </c>
      <c r="U859" s="1" t="s">
        <v>74</v>
      </c>
      <c r="V859" s="1" t="s">
        <v>8555</v>
      </c>
      <c r="W859" s="1" t="s">
        <v>74</v>
      </c>
      <c r="X859" s="1" t="s">
        <v>74</v>
      </c>
      <c r="Y859" s="1" t="s">
        <v>74</v>
      </c>
      <c r="Z859" s="1" t="s">
        <v>74</v>
      </c>
      <c r="AA859" s="1" t="s">
        <v>8556</v>
      </c>
      <c r="AB859" s="1" t="s">
        <v>8557</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74</v>
      </c>
      <c r="AP859" s="1" t="s">
        <v>263</v>
      </c>
      <c r="AQ859" s="1" t="s">
        <v>74</v>
      </c>
      <c r="AR859" s="1" t="s">
        <v>74</v>
      </c>
      <c r="AS859" s="1" t="s">
        <v>74</v>
      </c>
      <c r="AT859" s="1" t="s">
        <v>202</v>
      </c>
      <c r="AU859" s="1">
        <v>2021.0</v>
      </c>
      <c r="AV859" s="1">
        <v>13.0</v>
      </c>
      <c r="AW859" s="1">
        <v>6.0</v>
      </c>
      <c r="AX859" s="1" t="s">
        <v>74</v>
      </c>
      <c r="AY859" s="1" t="s">
        <v>74</v>
      </c>
      <c r="AZ859" s="1" t="s">
        <v>74</v>
      </c>
      <c r="BA859" s="1" t="s">
        <v>74</v>
      </c>
      <c r="BB859" s="1" t="s">
        <v>74</v>
      </c>
      <c r="BC859" s="1" t="s">
        <v>74</v>
      </c>
      <c r="BD859" s="1">
        <v>1809.0</v>
      </c>
      <c r="BE859" s="1" t="s">
        <v>8558</v>
      </c>
      <c r="BF859" s="2" t="str">
        <f>HYPERLINK("http://dx.doi.org/10.3390/nu13061809","http://dx.doi.org/10.3390/nu13061809")</f>
        <v>http://dx.doi.org/10.3390/nu13061809</v>
      </c>
      <c r="BG859" s="1" t="s">
        <v>74</v>
      </c>
      <c r="BH859" s="1" t="s">
        <v>74</v>
      </c>
      <c r="BI859" s="1" t="s">
        <v>74</v>
      </c>
      <c r="BJ859" s="1" t="s">
        <v>74</v>
      </c>
      <c r="BK859" s="1" t="s">
        <v>74</v>
      </c>
      <c r="BL859" s="1" t="s">
        <v>74</v>
      </c>
      <c r="BM859" s="1" t="s">
        <v>74</v>
      </c>
      <c r="BN859" s="1">
        <v>3.4073533E7</v>
      </c>
      <c r="BO859" s="1" t="s">
        <v>74</v>
      </c>
      <c r="BP859" s="1" t="s">
        <v>74</v>
      </c>
      <c r="BQ859" s="1" t="s">
        <v>74</v>
      </c>
      <c r="BR859" s="1" t="s">
        <v>74</v>
      </c>
      <c r="BS859" s="1" t="s">
        <v>8559</v>
      </c>
      <c r="BT859" s="1" t="str">
        <f>HYPERLINK("https%3A%2F%2Fwww.webofscience.com%2Fwos%2Fwoscc%2Ffull-record%2FWOS:000666142300001","View Full Record in Web of Science")</f>
        <v>View Full Record in Web of Science</v>
      </c>
    </row>
    <row r="860" ht="12.75" customHeight="1">
      <c r="A860" s="1" t="s">
        <v>72</v>
      </c>
      <c r="B860" s="1" t="s">
        <v>8560</v>
      </c>
      <c r="C860" s="1" t="s">
        <v>74</v>
      </c>
      <c r="D860" s="1" t="s">
        <v>74</v>
      </c>
      <c r="E860" s="1" t="s">
        <v>74</v>
      </c>
      <c r="F860" s="1" t="s">
        <v>8561</v>
      </c>
      <c r="G860" s="1" t="s">
        <v>74</v>
      </c>
      <c r="H860" s="1" t="s">
        <v>74</v>
      </c>
      <c r="I860" s="1" t="s">
        <v>8562</v>
      </c>
      <c r="J860" s="1" t="s">
        <v>1226</v>
      </c>
      <c r="K860" s="1" t="s">
        <v>74</v>
      </c>
      <c r="L860" s="1" t="s">
        <v>74</v>
      </c>
      <c r="M860" s="1" t="s">
        <v>74</v>
      </c>
      <c r="N860" s="1" t="s">
        <v>74</v>
      </c>
      <c r="O860" s="1" t="s">
        <v>74</v>
      </c>
      <c r="P860" s="1" t="s">
        <v>74</v>
      </c>
      <c r="Q860" s="1" t="s">
        <v>74</v>
      </c>
      <c r="R860" s="1" t="s">
        <v>74</v>
      </c>
      <c r="S860" s="1" t="s">
        <v>74</v>
      </c>
      <c r="T860" s="1" t="s">
        <v>74</v>
      </c>
      <c r="U860" s="1" t="s">
        <v>74</v>
      </c>
      <c r="V860" s="1" t="s">
        <v>8563</v>
      </c>
      <c r="W860" s="1" t="s">
        <v>74</v>
      </c>
      <c r="X860" s="1" t="s">
        <v>74</v>
      </c>
      <c r="Y860" s="1" t="s">
        <v>74</v>
      </c>
      <c r="Z860" s="1" t="s">
        <v>74</v>
      </c>
      <c r="AA860" s="1" t="s">
        <v>8564</v>
      </c>
      <c r="AB860" s="1" t="s">
        <v>8565</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1228</v>
      </c>
      <c r="AP860" s="1" t="s">
        <v>1229</v>
      </c>
      <c r="AQ860" s="1" t="s">
        <v>74</v>
      </c>
      <c r="AR860" s="1" t="s">
        <v>74</v>
      </c>
      <c r="AS860" s="1" t="s">
        <v>74</v>
      </c>
      <c r="AT860" s="1" t="s">
        <v>3853</v>
      </c>
      <c r="AU860" s="1">
        <v>2024.0</v>
      </c>
      <c r="AV860" s="1">
        <v>691.0</v>
      </c>
      <c r="AW860" s="1" t="s">
        <v>74</v>
      </c>
      <c r="AX860" s="1" t="s">
        <v>74</v>
      </c>
      <c r="AY860" s="1" t="s">
        <v>74</v>
      </c>
      <c r="AZ860" s="1" t="s">
        <v>74</v>
      </c>
      <c r="BA860" s="1" t="s">
        <v>74</v>
      </c>
      <c r="BB860" s="1" t="s">
        <v>74</v>
      </c>
      <c r="BC860" s="1" t="s">
        <v>74</v>
      </c>
      <c r="BD860" s="1" t="s">
        <v>8566</v>
      </c>
      <c r="BE860" s="1" t="s">
        <v>8567</v>
      </c>
      <c r="BF860" s="2" t="str">
        <f>HYPERLINK("http://dx.doi.org/10.1051/0004-6361/202451043","http://dx.doi.org/10.1051/0004-6361/202451043")</f>
        <v>http://dx.doi.org/10.1051/0004-6361/202451043</v>
      </c>
      <c r="BG860" s="1" t="s">
        <v>74</v>
      </c>
      <c r="BH860" s="1" t="s">
        <v>74</v>
      </c>
      <c r="BI860" s="1" t="s">
        <v>74</v>
      </c>
      <c r="BJ860" s="1" t="s">
        <v>74</v>
      </c>
      <c r="BK860" s="1" t="s">
        <v>74</v>
      </c>
      <c r="BL860" s="1" t="s">
        <v>74</v>
      </c>
      <c r="BM860" s="1" t="s">
        <v>74</v>
      </c>
      <c r="BN860" s="1" t="s">
        <v>74</v>
      </c>
      <c r="BO860" s="1" t="s">
        <v>74</v>
      </c>
      <c r="BP860" s="1" t="s">
        <v>74</v>
      </c>
      <c r="BQ860" s="1" t="s">
        <v>74</v>
      </c>
      <c r="BR860" s="1" t="s">
        <v>74</v>
      </c>
      <c r="BS860" s="1" t="s">
        <v>8568</v>
      </c>
      <c r="BT860" s="1" t="str">
        <f>HYPERLINK("https%3A%2F%2Fwww.webofscience.com%2Fwos%2Fwoscc%2Ffull-record%2FWOS:001345759900033","View Full Record in Web of Science")</f>
        <v>View Full Record in Web of Science</v>
      </c>
    </row>
    <row r="861" ht="12.75" customHeight="1">
      <c r="A861" s="1" t="s">
        <v>72</v>
      </c>
      <c r="B861" s="1" t="s">
        <v>8569</v>
      </c>
      <c r="C861" s="1" t="s">
        <v>74</v>
      </c>
      <c r="D861" s="1" t="s">
        <v>74</v>
      </c>
      <c r="E861" s="1" t="s">
        <v>74</v>
      </c>
      <c r="F861" s="1" t="s">
        <v>8570</v>
      </c>
      <c r="G861" s="1" t="s">
        <v>74</v>
      </c>
      <c r="H861" s="1" t="s">
        <v>74</v>
      </c>
      <c r="I861" s="1" t="s">
        <v>8571</v>
      </c>
      <c r="J861" s="1" t="s">
        <v>7794</v>
      </c>
      <c r="K861" s="1" t="s">
        <v>74</v>
      </c>
      <c r="L861" s="1" t="s">
        <v>74</v>
      </c>
      <c r="M861" s="1" t="s">
        <v>74</v>
      </c>
      <c r="N861" s="1" t="s">
        <v>74</v>
      </c>
      <c r="O861" s="1" t="s">
        <v>74</v>
      </c>
      <c r="P861" s="1" t="s">
        <v>74</v>
      </c>
      <c r="Q861" s="1" t="s">
        <v>74</v>
      </c>
      <c r="R861" s="1" t="s">
        <v>74</v>
      </c>
      <c r="S861" s="1" t="s">
        <v>74</v>
      </c>
      <c r="T861" s="1" t="s">
        <v>74</v>
      </c>
      <c r="U861" s="1" t="s">
        <v>74</v>
      </c>
      <c r="V861" s="1" t="s">
        <v>8572</v>
      </c>
      <c r="W861" s="1" t="s">
        <v>74</v>
      </c>
      <c r="X861" s="1" t="s">
        <v>74</v>
      </c>
      <c r="Y861" s="1" t="s">
        <v>74</v>
      </c>
      <c r="Z861" s="1" t="s">
        <v>74</v>
      </c>
      <c r="AA861" s="1" t="s">
        <v>8573</v>
      </c>
      <c r="AB861" s="1" t="s">
        <v>8574</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74</v>
      </c>
      <c r="AP861" s="1" t="s">
        <v>7798</v>
      </c>
      <c r="AQ861" s="1" t="s">
        <v>74</v>
      </c>
      <c r="AR861" s="1" t="s">
        <v>74</v>
      </c>
      <c r="AS861" s="1" t="s">
        <v>74</v>
      </c>
      <c r="AT861" s="1" t="s">
        <v>346</v>
      </c>
      <c r="AU861" s="1">
        <v>2021.0</v>
      </c>
      <c r="AV861" s="1">
        <v>13.0</v>
      </c>
      <c r="AW861" s="1">
        <v>5.0</v>
      </c>
      <c r="AX861" s="1" t="s">
        <v>74</v>
      </c>
      <c r="AY861" s="1" t="s">
        <v>74</v>
      </c>
      <c r="AZ861" s="1" t="s">
        <v>74</v>
      </c>
      <c r="BA861" s="1" t="s">
        <v>74</v>
      </c>
      <c r="BB861" s="1" t="s">
        <v>74</v>
      </c>
      <c r="BC861" s="1" t="s">
        <v>74</v>
      </c>
      <c r="BD861" s="1">
        <v>656.0</v>
      </c>
      <c r="BE861" s="1" t="s">
        <v>8575</v>
      </c>
      <c r="BF861" s="2" t="str">
        <f>HYPERLINK("http://dx.doi.org/10.3390/w13050656","http://dx.doi.org/10.3390/w13050656")</f>
        <v>http://dx.doi.org/10.3390/w13050656</v>
      </c>
      <c r="BG861" s="1" t="s">
        <v>74</v>
      </c>
      <c r="BH861" s="1" t="s">
        <v>74</v>
      </c>
      <c r="BI861" s="1" t="s">
        <v>74</v>
      </c>
      <c r="BJ861" s="1" t="s">
        <v>74</v>
      </c>
      <c r="BK861" s="1" t="s">
        <v>74</v>
      </c>
      <c r="BL861" s="1" t="s">
        <v>74</v>
      </c>
      <c r="BM861" s="1" t="s">
        <v>74</v>
      </c>
      <c r="BN861" s="1" t="s">
        <v>74</v>
      </c>
      <c r="BO861" s="1" t="s">
        <v>74</v>
      </c>
      <c r="BP861" s="1" t="s">
        <v>74</v>
      </c>
      <c r="BQ861" s="1" t="s">
        <v>74</v>
      </c>
      <c r="BR861" s="1" t="s">
        <v>74</v>
      </c>
      <c r="BS861" s="1" t="s">
        <v>8576</v>
      </c>
      <c r="BT861" s="1" t="str">
        <f>HYPERLINK("https%3A%2F%2Fwww.webofscience.com%2Fwos%2Fwoscc%2Ffull-record%2FWOS:000628587000001","View Full Record in Web of Science")</f>
        <v>View Full Record in Web of Science</v>
      </c>
    </row>
    <row r="862" ht="12.75" customHeight="1">
      <c r="A862" s="1" t="s">
        <v>72</v>
      </c>
      <c r="B862" s="1" t="s">
        <v>8577</v>
      </c>
      <c r="C862" s="1" t="s">
        <v>74</v>
      </c>
      <c r="D862" s="1" t="s">
        <v>74</v>
      </c>
      <c r="E862" s="1" t="s">
        <v>74</v>
      </c>
      <c r="F862" s="1" t="s">
        <v>8578</v>
      </c>
      <c r="G862" s="1" t="s">
        <v>74</v>
      </c>
      <c r="H862" s="1" t="s">
        <v>74</v>
      </c>
      <c r="I862" s="1" t="s">
        <v>8579</v>
      </c>
      <c r="J862" s="1" t="s">
        <v>739</v>
      </c>
      <c r="K862" s="1" t="s">
        <v>74</v>
      </c>
      <c r="L862" s="1" t="s">
        <v>74</v>
      </c>
      <c r="M862" s="1" t="s">
        <v>74</v>
      </c>
      <c r="N862" s="1" t="s">
        <v>74</v>
      </c>
      <c r="O862" s="1" t="s">
        <v>74</v>
      </c>
      <c r="P862" s="1" t="s">
        <v>74</v>
      </c>
      <c r="Q862" s="1" t="s">
        <v>74</v>
      </c>
      <c r="R862" s="1" t="s">
        <v>74</v>
      </c>
      <c r="S862" s="1" t="s">
        <v>74</v>
      </c>
      <c r="T862" s="1" t="s">
        <v>74</v>
      </c>
      <c r="U862" s="1" t="s">
        <v>74</v>
      </c>
      <c r="V862" s="1" t="s">
        <v>8580</v>
      </c>
      <c r="W862" s="1" t="s">
        <v>74</v>
      </c>
      <c r="X862" s="1" t="s">
        <v>74</v>
      </c>
      <c r="Y862" s="1" t="s">
        <v>74</v>
      </c>
      <c r="Z862" s="1" t="s">
        <v>74</v>
      </c>
      <c r="AA862" s="1" t="s">
        <v>8581</v>
      </c>
      <c r="AB862" s="1" t="s">
        <v>8582</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743</v>
      </c>
      <c r="AP862" s="1" t="s">
        <v>744</v>
      </c>
      <c r="AQ862" s="1" t="s">
        <v>74</v>
      </c>
      <c r="AR862" s="1" t="s">
        <v>74</v>
      </c>
      <c r="AS862" s="1" t="s">
        <v>74</v>
      </c>
      <c r="AT862" s="1" t="s">
        <v>1455</v>
      </c>
      <c r="AU862" s="1">
        <v>2016.0</v>
      </c>
      <c r="AV862" s="1">
        <v>93.0</v>
      </c>
      <c r="AW862" s="1">
        <v>21.0</v>
      </c>
      <c r="AX862" s="1" t="s">
        <v>74</v>
      </c>
      <c r="AY862" s="1" t="s">
        <v>74</v>
      </c>
      <c r="AZ862" s="1" t="s">
        <v>74</v>
      </c>
      <c r="BA862" s="1" t="s">
        <v>74</v>
      </c>
      <c r="BB862" s="1" t="s">
        <v>74</v>
      </c>
      <c r="BC862" s="1" t="s">
        <v>74</v>
      </c>
      <c r="BD862" s="1">
        <v>214501.0</v>
      </c>
      <c r="BE862" s="1" t="s">
        <v>8583</v>
      </c>
      <c r="BF862" s="2" t="str">
        <f>HYPERLINK("http://dx.doi.org/10.1103/PhysRevB.93.214501","http://dx.doi.org/10.1103/PhysRevB.93.214501")</f>
        <v>http://dx.doi.org/10.1103/PhysRevB.93.214501</v>
      </c>
      <c r="BG862" s="1" t="s">
        <v>74</v>
      </c>
      <c r="BH862" s="1" t="s">
        <v>74</v>
      </c>
      <c r="BI862" s="1" t="s">
        <v>74</v>
      </c>
      <c r="BJ862" s="1" t="s">
        <v>74</v>
      </c>
      <c r="BK862" s="1" t="s">
        <v>74</v>
      </c>
      <c r="BL862" s="1" t="s">
        <v>74</v>
      </c>
      <c r="BM862" s="1" t="s">
        <v>74</v>
      </c>
      <c r="BN862" s="1" t="s">
        <v>74</v>
      </c>
      <c r="BO862" s="1" t="s">
        <v>74</v>
      </c>
      <c r="BP862" s="1" t="s">
        <v>74</v>
      </c>
      <c r="BQ862" s="1" t="s">
        <v>74</v>
      </c>
      <c r="BR862" s="1" t="s">
        <v>74</v>
      </c>
      <c r="BS862" s="1" t="s">
        <v>8584</v>
      </c>
      <c r="BT862" s="1" t="str">
        <f>HYPERLINK("https%3A%2F%2Fwww.webofscience.com%2Fwos%2Fwoscc%2Ffull-record%2FWOS:000376992700003","View Full Record in Web of Science")</f>
        <v>View Full Record in Web of Science</v>
      </c>
    </row>
    <row r="863" ht="12.75" customHeight="1">
      <c r="A863" s="1" t="s">
        <v>72</v>
      </c>
      <c r="B863" s="1" t="s">
        <v>8585</v>
      </c>
      <c r="C863" s="1" t="s">
        <v>74</v>
      </c>
      <c r="D863" s="1" t="s">
        <v>74</v>
      </c>
      <c r="E863" s="1" t="s">
        <v>74</v>
      </c>
      <c r="F863" s="1" t="s">
        <v>8586</v>
      </c>
      <c r="G863" s="1" t="s">
        <v>74</v>
      </c>
      <c r="H863" s="1" t="s">
        <v>74</v>
      </c>
      <c r="I863" s="1" t="s">
        <v>8587</v>
      </c>
      <c r="J863" s="1" t="s">
        <v>6374</v>
      </c>
      <c r="K863" s="1" t="s">
        <v>74</v>
      </c>
      <c r="L863" s="1" t="s">
        <v>74</v>
      </c>
      <c r="M863" s="1" t="s">
        <v>74</v>
      </c>
      <c r="N863" s="1" t="s">
        <v>74</v>
      </c>
      <c r="O863" s="1" t="s">
        <v>74</v>
      </c>
      <c r="P863" s="1" t="s">
        <v>74</v>
      </c>
      <c r="Q863" s="1" t="s">
        <v>74</v>
      </c>
      <c r="R863" s="1" t="s">
        <v>74</v>
      </c>
      <c r="S863" s="1" t="s">
        <v>74</v>
      </c>
      <c r="T863" s="1" t="s">
        <v>74</v>
      </c>
      <c r="U863" s="1" t="s">
        <v>74</v>
      </c>
      <c r="V863" s="1" t="s">
        <v>74</v>
      </c>
      <c r="W863" s="1" t="s">
        <v>74</v>
      </c>
      <c r="X863" s="1" t="s">
        <v>74</v>
      </c>
      <c r="Y863" s="1" t="s">
        <v>74</v>
      </c>
      <c r="Z863" s="1" t="s">
        <v>74</v>
      </c>
      <c r="AA863" s="1" t="s">
        <v>8588</v>
      </c>
      <c r="AB863" s="1" t="s">
        <v>7471</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6377</v>
      </c>
      <c r="AP863" s="1" t="s">
        <v>6378</v>
      </c>
      <c r="AQ863" s="1" t="s">
        <v>74</v>
      </c>
      <c r="AR863" s="1" t="s">
        <v>74</v>
      </c>
      <c r="AS863" s="1" t="s">
        <v>74</v>
      </c>
      <c r="AT863" s="1" t="s">
        <v>141</v>
      </c>
      <c r="AU863" s="1">
        <v>2022.0</v>
      </c>
      <c r="AV863" s="1">
        <v>54.0</v>
      </c>
      <c r="AW863" s="1">
        <v>9.0</v>
      </c>
      <c r="AX863" s="1" t="s">
        <v>74</v>
      </c>
      <c r="AY863" s="1" t="s">
        <v>1303</v>
      </c>
      <c r="AZ863" s="1" t="s">
        <v>74</v>
      </c>
      <c r="BA863" s="1">
        <v>2445.0</v>
      </c>
      <c r="BB863" s="1">
        <v>459.0</v>
      </c>
      <c r="BC863" s="1">
        <v>460.0</v>
      </c>
      <c r="BD863" s="1" t="s">
        <v>74</v>
      </c>
      <c r="BE863" s="1" t="s">
        <v>74</v>
      </c>
      <c r="BF863" s="1" t="s">
        <v>74</v>
      </c>
      <c r="BG863" s="1" t="s">
        <v>74</v>
      </c>
      <c r="BH863" s="1" t="s">
        <v>74</v>
      </c>
      <c r="BI863" s="1" t="s">
        <v>74</v>
      </c>
      <c r="BJ863" s="1" t="s">
        <v>74</v>
      </c>
      <c r="BK863" s="1" t="s">
        <v>74</v>
      </c>
      <c r="BL863" s="1" t="s">
        <v>74</v>
      </c>
      <c r="BM863" s="1" t="s">
        <v>74</v>
      </c>
      <c r="BN863" s="1" t="s">
        <v>74</v>
      </c>
      <c r="BO863" s="1" t="s">
        <v>74</v>
      </c>
      <c r="BP863" s="1" t="s">
        <v>74</v>
      </c>
      <c r="BQ863" s="1" t="s">
        <v>74</v>
      </c>
      <c r="BR863" s="1" t="s">
        <v>74</v>
      </c>
      <c r="BS863" s="1" t="s">
        <v>8589</v>
      </c>
      <c r="BT863" s="1" t="str">
        <f>HYPERLINK("https%3A%2F%2Fwww.webofscience.com%2Fwos%2Fwoscc%2Ffull-record%2FWOS:000888056602067","View Full Record in Web of Science")</f>
        <v>View Full Record in Web of Science</v>
      </c>
    </row>
    <row r="864" ht="12.75" customHeight="1">
      <c r="A864" s="1" t="s">
        <v>72</v>
      </c>
      <c r="B864" s="1" t="s">
        <v>8590</v>
      </c>
      <c r="C864" s="1" t="s">
        <v>74</v>
      </c>
      <c r="D864" s="1" t="s">
        <v>74</v>
      </c>
      <c r="E864" s="1" t="s">
        <v>74</v>
      </c>
      <c r="F864" s="1" t="s">
        <v>8591</v>
      </c>
      <c r="G864" s="1" t="s">
        <v>74</v>
      </c>
      <c r="H864" s="1" t="s">
        <v>74</v>
      </c>
      <c r="I864" s="1" t="s">
        <v>8592</v>
      </c>
      <c r="J864" s="1" t="s">
        <v>1923</v>
      </c>
      <c r="K864" s="1" t="s">
        <v>74</v>
      </c>
      <c r="L864" s="1" t="s">
        <v>74</v>
      </c>
      <c r="M864" s="1" t="s">
        <v>74</v>
      </c>
      <c r="N864" s="1" t="s">
        <v>74</v>
      </c>
      <c r="O864" s="1" t="s">
        <v>74</v>
      </c>
      <c r="P864" s="1" t="s">
        <v>74</v>
      </c>
      <c r="Q864" s="1" t="s">
        <v>74</v>
      </c>
      <c r="R864" s="1" t="s">
        <v>74</v>
      </c>
      <c r="S864" s="1" t="s">
        <v>74</v>
      </c>
      <c r="T864" s="1" t="s">
        <v>74</v>
      </c>
      <c r="U864" s="1" t="s">
        <v>74</v>
      </c>
      <c r="V864" s="1" t="s">
        <v>8593</v>
      </c>
      <c r="W864" s="1" t="s">
        <v>74</v>
      </c>
      <c r="X864" s="1" t="s">
        <v>74</v>
      </c>
      <c r="Y864" s="1" t="s">
        <v>74</v>
      </c>
      <c r="Z864" s="1" t="s">
        <v>74</v>
      </c>
      <c r="AA864" s="1" t="s">
        <v>8594</v>
      </c>
      <c r="AB864" s="1" t="s">
        <v>8595</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1927</v>
      </c>
      <c r="AP864" s="1" t="s">
        <v>1928</v>
      </c>
      <c r="AQ864" s="1" t="s">
        <v>74</v>
      </c>
      <c r="AR864" s="1" t="s">
        <v>74</v>
      </c>
      <c r="AS864" s="1" t="s">
        <v>74</v>
      </c>
      <c r="AT864" s="1" t="s">
        <v>202</v>
      </c>
      <c r="AU864" s="1">
        <v>2020.0</v>
      </c>
      <c r="AV864" s="1">
        <v>30.0</v>
      </c>
      <c r="AW864" s="1">
        <v>6.0</v>
      </c>
      <c r="AX864" s="1" t="s">
        <v>74</v>
      </c>
      <c r="AY864" s="1" t="s">
        <v>74</v>
      </c>
      <c r="AZ864" s="1" t="s">
        <v>74</v>
      </c>
      <c r="BA864" s="1" t="s">
        <v>74</v>
      </c>
      <c r="BB864" s="1">
        <v>983.0</v>
      </c>
      <c r="BC864" s="1">
        <v>997.0</v>
      </c>
      <c r="BD864" s="1" t="s">
        <v>74</v>
      </c>
      <c r="BE864" s="1" t="s">
        <v>8596</v>
      </c>
      <c r="BF864" s="2" t="str">
        <f>HYPERLINK("http://dx.doi.org/10.1111/sms.13633","http://dx.doi.org/10.1111/sms.13633")</f>
        <v>http://dx.doi.org/10.1111/sms.13633</v>
      </c>
      <c r="BG864" s="1" t="s">
        <v>74</v>
      </c>
      <c r="BH864" s="1" t="s">
        <v>1734</v>
      </c>
      <c r="BI864" s="1" t="s">
        <v>74</v>
      </c>
      <c r="BJ864" s="1" t="s">
        <v>74</v>
      </c>
      <c r="BK864" s="1" t="s">
        <v>74</v>
      </c>
      <c r="BL864" s="1" t="s">
        <v>74</v>
      </c>
      <c r="BM864" s="1" t="s">
        <v>74</v>
      </c>
      <c r="BN864" s="1">
        <v>3.2034819E7</v>
      </c>
      <c r="BO864" s="1" t="s">
        <v>74</v>
      </c>
      <c r="BP864" s="1" t="s">
        <v>74</v>
      </c>
      <c r="BQ864" s="1" t="s">
        <v>74</v>
      </c>
      <c r="BR864" s="1" t="s">
        <v>74</v>
      </c>
      <c r="BS864" s="1" t="s">
        <v>8597</v>
      </c>
      <c r="BT864" s="1" t="str">
        <f>HYPERLINK("https%3A%2F%2Fwww.webofscience.com%2Fwos%2Fwoscc%2Ffull-record%2FWOS:000515309500001","View Full Record in Web of Science")</f>
        <v>View Full Record in Web of Science</v>
      </c>
    </row>
    <row r="865" ht="12.75" customHeight="1">
      <c r="A865" s="1" t="s">
        <v>72</v>
      </c>
      <c r="B865" s="1" t="s">
        <v>8598</v>
      </c>
      <c r="C865" s="1" t="s">
        <v>74</v>
      </c>
      <c r="D865" s="1" t="s">
        <v>74</v>
      </c>
      <c r="E865" s="1" t="s">
        <v>74</v>
      </c>
      <c r="F865" s="1" t="s">
        <v>8599</v>
      </c>
      <c r="G865" s="1" t="s">
        <v>74</v>
      </c>
      <c r="H865" s="1" t="s">
        <v>74</v>
      </c>
      <c r="I865" s="1" t="s">
        <v>8600</v>
      </c>
      <c r="J865" s="1" t="s">
        <v>480</v>
      </c>
      <c r="K865" s="1" t="s">
        <v>74</v>
      </c>
      <c r="L865" s="1" t="s">
        <v>74</v>
      </c>
      <c r="M865" s="1" t="s">
        <v>74</v>
      </c>
      <c r="N865" s="1" t="s">
        <v>74</v>
      </c>
      <c r="O865" s="1" t="s">
        <v>74</v>
      </c>
      <c r="P865" s="1" t="s">
        <v>74</v>
      </c>
      <c r="Q865" s="1" t="s">
        <v>74</v>
      </c>
      <c r="R865" s="1" t="s">
        <v>74</v>
      </c>
      <c r="S865" s="1" t="s">
        <v>74</v>
      </c>
      <c r="T865" s="1" t="s">
        <v>74</v>
      </c>
      <c r="U865" s="1" t="s">
        <v>74</v>
      </c>
      <c r="V865" s="1" t="s">
        <v>8601</v>
      </c>
      <c r="W865" s="1" t="s">
        <v>74</v>
      </c>
      <c r="X865" s="1" t="s">
        <v>74</v>
      </c>
      <c r="Y865" s="1" t="s">
        <v>74</v>
      </c>
      <c r="Z865" s="1" t="s">
        <v>74</v>
      </c>
      <c r="AA865" s="1" t="s">
        <v>8602</v>
      </c>
      <c r="AB865" s="1" t="s">
        <v>8603</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484</v>
      </c>
      <c r="AP865" s="1" t="s">
        <v>74</v>
      </c>
      <c r="AQ865" s="1" t="s">
        <v>74</v>
      </c>
      <c r="AR865" s="1" t="s">
        <v>74</v>
      </c>
      <c r="AS865" s="1" t="s">
        <v>74</v>
      </c>
      <c r="AT865" s="1" t="s">
        <v>1823</v>
      </c>
      <c r="AU865" s="1">
        <v>2023.0</v>
      </c>
      <c r="AV865" s="1">
        <v>13.0</v>
      </c>
      <c r="AW865" s="1">
        <v>1.0</v>
      </c>
      <c r="AX865" s="1" t="s">
        <v>74</v>
      </c>
      <c r="AY865" s="1" t="s">
        <v>74</v>
      </c>
      <c r="AZ865" s="1" t="s">
        <v>74</v>
      </c>
      <c r="BA865" s="1" t="s">
        <v>74</v>
      </c>
      <c r="BB865" s="1" t="s">
        <v>74</v>
      </c>
      <c r="BC865" s="1" t="s">
        <v>74</v>
      </c>
      <c r="BD865" s="1">
        <v>1745.0</v>
      </c>
      <c r="BE865" s="1" t="s">
        <v>8604</v>
      </c>
      <c r="BF865" s="2" t="str">
        <f>HYPERLINK("http://dx.doi.org/10.1038/s41598-023-27709-x","http://dx.doi.org/10.1038/s41598-023-27709-x")</f>
        <v>http://dx.doi.org/10.1038/s41598-023-27709-x</v>
      </c>
      <c r="BG865" s="1" t="s">
        <v>74</v>
      </c>
      <c r="BH865" s="1" t="s">
        <v>74</v>
      </c>
      <c r="BI865" s="1" t="s">
        <v>74</v>
      </c>
      <c r="BJ865" s="1" t="s">
        <v>74</v>
      </c>
      <c r="BK865" s="1" t="s">
        <v>74</v>
      </c>
      <c r="BL865" s="1" t="s">
        <v>74</v>
      </c>
      <c r="BM865" s="1" t="s">
        <v>74</v>
      </c>
      <c r="BN865" s="1">
        <v>3.6720905E7</v>
      </c>
      <c r="BO865" s="1" t="s">
        <v>74</v>
      </c>
      <c r="BP865" s="1" t="s">
        <v>74</v>
      </c>
      <c r="BQ865" s="1" t="s">
        <v>74</v>
      </c>
      <c r="BR865" s="1" t="s">
        <v>74</v>
      </c>
      <c r="BS865" s="1" t="s">
        <v>8605</v>
      </c>
      <c r="BT865" s="1" t="str">
        <f>HYPERLINK("https%3A%2F%2Fwww.webofscience.com%2Fwos%2Fwoscc%2Ffull-record%2FWOS:000985232500074","View Full Record in Web of Science")</f>
        <v>View Full Record in Web of Science</v>
      </c>
    </row>
    <row r="866" ht="12.75" customHeight="1">
      <c r="A866" s="1" t="s">
        <v>72</v>
      </c>
      <c r="B866" s="1" t="s">
        <v>8606</v>
      </c>
      <c r="C866" s="1" t="s">
        <v>74</v>
      </c>
      <c r="D866" s="1" t="s">
        <v>74</v>
      </c>
      <c r="E866" s="1" t="s">
        <v>74</v>
      </c>
      <c r="F866" s="1" t="s">
        <v>8607</v>
      </c>
      <c r="G866" s="1" t="s">
        <v>74</v>
      </c>
      <c r="H866" s="1" t="s">
        <v>74</v>
      </c>
      <c r="I866" s="1" t="s">
        <v>8608</v>
      </c>
      <c r="J866" s="1" t="s">
        <v>2174</v>
      </c>
      <c r="K866" s="1" t="s">
        <v>74</v>
      </c>
      <c r="L866" s="1" t="s">
        <v>74</v>
      </c>
      <c r="M866" s="1" t="s">
        <v>74</v>
      </c>
      <c r="N866" s="1" t="s">
        <v>74</v>
      </c>
      <c r="O866" s="1" t="s">
        <v>74</v>
      </c>
      <c r="P866" s="1" t="s">
        <v>74</v>
      </c>
      <c r="Q866" s="1" t="s">
        <v>74</v>
      </c>
      <c r="R866" s="1" t="s">
        <v>74</v>
      </c>
      <c r="S866" s="1" t="s">
        <v>74</v>
      </c>
      <c r="T866" s="1" t="s">
        <v>74</v>
      </c>
      <c r="U866" s="1" t="s">
        <v>74</v>
      </c>
      <c r="V866" s="1" t="s">
        <v>8609</v>
      </c>
      <c r="W866" s="1" t="s">
        <v>74</v>
      </c>
      <c r="X866" s="1" t="s">
        <v>74</v>
      </c>
      <c r="Y866" s="1" t="s">
        <v>74</v>
      </c>
      <c r="Z866" s="1" t="s">
        <v>74</v>
      </c>
      <c r="AA866" s="1" t="s">
        <v>8610</v>
      </c>
      <c r="AB866" s="1" t="s">
        <v>8611</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2178</v>
      </c>
      <c r="AP866" s="1" t="s">
        <v>3825</v>
      </c>
      <c r="AQ866" s="1" t="s">
        <v>74</v>
      </c>
      <c r="AR866" s="1" t="s">
        <v>74</v>
      </c>
      <c r="AS866" s="1" t="s">
        <v>74</v>
      </c>
      <c r="AT866" s="1" t="s">
        <v>8612</v>
      </c>
      <c r="AU866" s="1">
        <v>2022.0</v>
      </c>
      <c r="AV866" s="1">
        <v>119.0</v>
      </c>
      <c r="AW866" s="1">
        <v>29.0</v>
      </c>
      <c r="AX866" s="1" t="s">
        <v>74</v>
      </c>
      <c r="AY866" s="1" t="s">
        <v>74</v>
      </c>
      <c r="AZ866" s="1" t="s">
        <v>74</v>
      </c>
      <c r="BA866" s="1" t="s">
        <v>74</v>
      </c>
      <c r="BB866" s="1" t="s">
        <v>74</v>
      </c>
      <c r="BC866" s="1" t="s">
        <v>74</v>
      </c>
      <c r="BD866" s="1" t="s">
        <v>8613</v>
      </c>
      <c r="BE866" s="1" t="s">
        <v>8614</v>
      </c>
      <c r="BF866" s="2" t="str">
        <f>HYPERLINK("http://dx.doi.org/10.1073/pnas.2204536119","http://dx.doi.org/10.1073/pnas.2204536119")</f>
        <v>http://dx.doi.org/10.1073/pnas.2204536119</v>
      </c>
      <c r="BG866" s="1" t="s">
        <v>74</v>
      </c>
      <c r="BH866" s="1" t="s">
        <v>74</v>
      </c>
      <c r="BI866" s="1" t="s">
        <v>74</v>
      </c>
      <c r="BJ866" s="1" t="s">
        <v>74</v>
      </c>
      <c r="BK866" s="1" t="s">
        <v>74</v>
      </c>
      <c r="BL866" s="1" t="s">
        <v>74</v>
      </c>
      <c r="BM866" s="1" t="s">
        <v>74</v>
      </c>
      <c r="BN866" s="1">
        <v>3.5858336E7</v>
      </c>
      <c r="BO866" s="1" t="s">
        <v>74</v>
      </c>
      <c r="BP866" s="1" t="s">
        <v>74</v>
      </c>
      <c r="BQ866" s="1" t="s">
        <v>74</v>
      </c>
      <c r="BR866" s="1" t="s">
        <v>74</v>
      </c>
      <c r="BS866" s="1" t="s">
        <v>8615</v>
      </c>
      <c r="BT866" s="1" t="str">
        <f>HYPERLINK("https%3A%2F%2Fwww.webofscience.com%2Fwos%2Fwoscc%2Ffull-record%2FWOS:000853870200003","View Full Record in Web of Science")</f>
        <v>View Full Record in Web of Science</v>
      </c>
    </row>
    <row r="867" ht="12.75" customHeight="1">
      <c r="A867" s="1" t="s">
        <v>72</v>
      </c>
      <c r="B867" s="1" t="s">
        <v>8616</v>
      </c>
      <c r="C867" s="1" t="s">
        <v>74</v>
      </c>
      <c r="D867" s="1" t="s">
        <v>74</v>
      </c>
      <c r="E867" s="1" t="s">
        <v>74</v>
      </c>
      <c r="F867" s="1" t="s">
        <v>8617</v>
      </c>
      <c r="G867" s="1" t="s">
        <v>74</v>
      </c>
      <c r="H867" s="1" t="s">
        <v>74</v>
      </c>
      <c r="I867" s="1" t="s">
        <v>8618</v>
      </c>
      <c r="J867" s="1" t="s">
        <v>8619</v>
      </c>
      <c r="K867" s="1" t="s">
        <v>74</v>
      </c>
      <c r="L867" s="1" t="s">
        <v>74</v>
      </c>
      <c r="M867" s="1" t="s">
        <v>74</v>
      </c>
      <c r="N867" s="1" t="s">
        <v>74</v>
      </c>
      <c r="O867" s="1" t="s">
        <v>74</v>
      </c>
      <c r="P867" s="1" t="s">
        <v>74</v>
      </c>
      <c r="Q867" s="1" t="s">
        <v>74</v>
      </c>
      <c r="R867" s="1" t="s">
        <v>74</v>
      </c>
      <c r="S867" s="1" t="s">
        <v>74</v>
      </c>
      <c r="T867" s="1" t="s">
        <v>74</v>
      </c>
      <c r="U867" s="1" t="s">
        <v>74</v>
      </c>
      <c r="V867" s="1" t="s">
        <v>8620</v>
      </c>
      <c r="W867" s="1" t="s">
        <v>74</v>
      </c>
      <c r="X867" s="1" t="s">
        <v>74</v>
      </c>
      <c r="Y867" s="1" t="s">
        <v>74</v>
      </c>
      <c r="Z867" s="1" t="s">
        <v>74</v>
      </c>
      <c r="AA867" s="1" t="s">
        <v>8621</v>
      </c>
      <c r="AB867" s="1" t="s">
        <v>8622</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8623</v>
      </c>
      <c r="AP867" s="1" t="s">
        <v>8624</v>
      </c>
      <c r="AQ867" s="1" t="s">
        <v>74</v>
      </c>
      <c r="AR867" s="1" t="s">
        <v>74</v>
      </c>
      <c r="AS867" s="1" t="s">
        <v>74</v>
      </c>
      <c r="AT867" s="1" t="s">
        <v>74</v>
      </c>
      <c r="AU867" s="1">
        <v>2022.0</v>
      </c>
      <c r="AV867" s="1">
        <v>39.0</v>
      </c>
      <c r="AW867" s="1">
        <v>2.0</v>
      </c>
      <c r="AX867" s="1" t="s">
        <v>74</v>
      </c>
      <c r="AY867" s="1" t="s">
        <v>74</v>
      </c>
      <c r="AZ867" s="1" t="s">
        <v>74</v>
      </c>
      <c r="BA867" s="1" t="s">
        <v>74</v>
      </c>
      <c r="BB867" s="1">
        <v>273.0</v>
      </c>
      <c r="BC867" s="1">
        <v>287.0</v>
      </c>
      <c r="BD867" s="1" t="s">
        <v>74</v>
      </c>
      <c r="BE867" s="1" t="s">
        <v>8625</v>
      </c>
      <c r="BF867" s="2" t="str">
        <f>HYPERLINK("http://dx.doi.org/10.5114/biolsport.2022.104916","http://dx.doi.org/10.5114/biolsport.2022.104916")</f>
        <v>http://dx.doi.org/10.5114/biolsport.2022.104916</v>
      </c>
      <c r="BG867" s="1" t="s">
        <v>74</v>
      </c>
      <c r="BH867" s="1" t="s">
        <v>74</v>
      </c>
      <c r="BI867" s="1" t="s">
        <v>74</v>
      </c>
      <c r="BJ867" s="1" t="s">
        <v>74</v>
      </c>
      <c r="BK867" s="1" t="s">
        <v>74</v>
      </c>
      <c r="BL867" s="1" t="s">
        <v>74</v>
      </c>
      <c r="BM867" s="1" t="s">
        <v>74</v>
      </c>
      <c r="BN867" s="1">
        <v>3.530954E7</v>
      </c>
      <c r="BO867" s="1" t="s">
        <v>74</v>
      </c>
      <c r="BP867" s="1" t="s">
        <v>74</v>
      </c>
      <c r="BQ867" s="1" t="s">
        <v>74</v>
      </c>
      <c r="BR867" s="1" t="s">
        <v>74</v>
      </c>
      <c r="BS867" s="1" t="s">
        <v>8626</v>
      </c>
      <c r="BT867" s="1" t="str">
        <f>HYPERLINK("https%3A%2F%2Fwww.webofscience.com%2Fwos%2Fwoscc%2Ffull-record%2FWOS:000759195200006","View Full Record in Web of Science")</f>
        <v>View Full Record in Web of Science</v>
      </c>
    </row>
    <row r="868" ht="12.75" customHeight="1">
      <c r="A868" s="1" t="s">
        <v>72</v>
      </c>
      <c r="B868" s="1" t="s">
        <v>8627</v>
      </c>
      <c r="C868" s="1" t="s">
        <v>74</v>
      </c>
      <c r="D868" s="1" t="s">
        <v>74</v>
      </c>
      <c r="E868" s="1" t="s">
        <v>74</v>
      </c>
      <c r="F868" s="1" t="s">
        <v>8628</v>
      </c>
      <c r="G868" s="1" t="s">
        <v>74</v>
      </c>
      <c r="H868" s="1" t="s">
        <v>74</v>
      </c>
      <c r="I868" s="1" t="s">
        <v>8629</v>
      </c>
      <c r="J868" s="1" t="s">
        <v>8630</v>
      </c>
      <c r="K868" s="1" t="s">
        <v>74</v>
      </c>
      <c r="L868" s="1" t="s">
        <v>74</v>
      </c>
      <c r="M868" s="1" t="s">
        <v>74</v>
      </c>
      <c r="N868" s="1" t="s">
        <v>74</v>
      </c>
      <c r="O868" s="1" t="s">
        <v>74</v>
      </c>
      <c r="P868" s="1" t="s">
        <v>74</v>
      </c>
      <c r="Q868" s="1" t="s">
        <v>74</v>
      </c>
      <c r="R868" s="1" t="s">
        <v>74</v>
      </c>
      <c r="S868" s="1" t="s">
        <v>74</v>
      </c>
      <c r="T868" s="1" t="s">
        <v>74</v>
      </c>
      <c r="U868" s="1" t="s">
        <v>74</v>
      </c>
      <c r="V868" s="1" t="s">
        <v>8631</v>
      </c>
      <c r="W868" s="1" t="s">
        <v>74</v>
      </c>
      <c r="X868" s="1" t="s">
        <v>74</v>
      </c>
      <c r="Y868" s="1" t="s">
        <v>74</v>
      </c>
      <c r="Z868" s="1" t="s">
        <v>74</v>
      </c>
      <c r="AA868" s="1" t="s">
        <v>8632</v>
      </c>
      <c r="AB868" s="1" t="s">
        <v>8633</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8634</v>
      </c>
      <c r="AP868" s="1" t="s">
        <v>8635</v>
      </c>
      <c r="AQ868" s="1" t="s">
        <v>74</v>
      </c>
      <c r="AR868" s="1" t="s">
        <v>74</v>
      </c>
      <c r="AS868" s="1" t="s">
        <v>74</v>
      </c>
      <c r="AT868" s="1" t="s">
        <v>346</v>
      </c>
      <c r="AU868" s="1">
        <v>2024.0</v>
      </c>
      <c r="AV868" s="1">
        <v>77.0</v>
      </c>
      <c r="AW868" s="1">
        <v>1.0</v>
      </c>
      <c r="AX868" s="1" t="s">
        <v>74</v>
      </c>
      <c r="AY868" s="1" t="s">
        <v>74</v>
      </c>
      <c r="AZ868" s="1" t="s">
        <v>74</v>
      </c>
      <c r="BA868" s="1" t="s">
        <v>74</v>
      </c>
      <c r="BB868" s="1">
        <v>138.0</v>
      </c>
      <c r="BC868" s="1">
        <v>152.0</v>
      </c>
      <c r="BD868" s="1" t="s">
        <v>74</v>
      </c>
      <c r="BE868" s="1" t="s">
        <v>8636</v>
      </c>
      <c r="BF868" s="2" t="str">
        <f>HYPERLINK("http://dx.doi.org/10.23736/S0025-7826.24.04396-5","http://dx.doi.org/10.23736/S0025-7826.24.04396-5")</f>
        <v>http://dx.doi.org/10.23736/S0025-7826.24.04396-5</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8637</v>
      </c>
      <c r="BT868" s="1" t="str">
        <f>HYPERLINK("https%3A%2F%2Fwww.webofscience.com%2Fwos%2Fwoscc%2Ffull-record%2FWOS:001229402100010","View Full Record in Web of Science")</f>
        <v>View Full Record in Web of Science</v>
      </c>
    </row>
    <row r="869" ht="12.75" customHeight="1">
      <c r="A869" s="1" t="s">
        <v>72</v>
      </c>
      <c r="B869" s="1" t="s">
        <v>8638</v>
      </c>
      <c r="C869" s="1" t="s">
        <v>74</v>
      </c>
      <c r="D869" s="1" t="s">
        <v>74</v>
      </c>
      <c r="E869" s="1" t="s">
        <v>74</v>
      </c>
      <c r="F869" s="1" t="s">
        <v>8639</v>
      </c>
      <c r="G869" s="1" t="s">
        <v>74</v>
      </c>
      <c r="H869" s="1" t="s">
        <v>74</v>
      </c>
      <c r="I869" s="1" t="s">
        <v>8640</v>
      </c>
      <c r="J869" s="1" t="s">
        <v>8641</v>
      </c>
      <c r="K869" s="1" t="s">
        <v>74</v>
      </c>
      <c r="L869" s="1" t="s">
        <v>74</v>
      </c>
      <c r="M869" s="1" t="s">
        <v>74</v>
      </c>
      <c r="N869" s="1" t="s">
        <v>74</v>
      </c>
      <c r="O869" s="1" t="s">
        <v>74</v>
      </c>
      <c r="P869" s="1" t="s">
        <v>74</v>
      </c>
      <c r="Q869" s="1" t="s">
        <v>74</v>
      </c>
      <c r="R869" s="1" t="s">
        <v>74</v>
      </c>
      <c r="S869" s="1" t="s">
        <v>74</v>
      </c>
      <c r="T869" s="1" t="s">
        <v>74</v>
      </c>
      <c r="U869" s="1" t="s">
        <v>74</v>
      </c>
      <c r="V869" s="1" t="s">
        <v>8642</v>
      </c>
      <c r="W869" s="1" t="s">
        <v>74</v>
      </c>
      <c r="X869" s="1" t="s">
        <v>74</v>
      </c>
      <c r="Y869" s="1" t="s">
        <v>74</v>
      </c>
      <c r="Z869" s="1" t="s">
        <v>74</v>
      </c>
      <c r="AA869" s="1" t="s">
        <v>8643</v>
      </c>
      <c r="AB869" s="1" t="s">
        <v>8644</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8645</v>
      </c>
      <c r="AP869" s="1" t="s">
        <v>8646</v>
      </c>
      <c r="AQ869" s="1" t="s">
        <v>74</v>
      </c>
      <c r="AR869" s="1" t="s">
        <v>74</v>
      </c>
      <c r="AS869" s="1" t="s">
        <v>74</v>
      </c>
      <c r="AT869" s="1" t="s">
        <v>8647</v>
      </c>
      <c r="AU869" s="1">
        <v>2020.0</v>
      </c>
      <c r="AV869" s="1">
        <v>28.0</v>
      </c>
      <c r="AW869" s="1">
        <v>1.0</v>
      </c>
      <c r="AX869" s="1" t="s">
        <v>74</v>
      </c>
      <c r="AY869" s="1" t="s">
        <v>74</v>
      </c>
      <c r="AZ869" s="1" t="s">
        <v>74</v>
      </c>
      <c r="BA869" s="1" t="s">
        <v>74</v>
      </c>
      <c r="BB869" s="1">
        <v>90.0</v>
      </c>
      <c r="BC869" s="1">
        <v>108.0</v>
      </c>
      <c r="BD869" s="1" t="s">
        <v>74</v>
      </c>
      <c r="BE869" s="1" t="s">
        <v>8648</v>
      </c>
      <c r="BF869" s="2" t="str">
        <f>HYPERLINK("http://dx.doi.org/10.1080/0907676X.2019.1629468","http://dx.doi.org/10.1080/0907676X.2019.1629468")</f>
        <v>http://dx.doi.org/10.1080/0907676X.2019.1629468</v>
      </c>
      <c r="BG869" s="1" t="s">
        <v>74</v>
      </c>
      <c r="BH869" s="1" t="s">
        <v>8649</v>
      </c>
      <c r="BI869" s="1" t="s">
        <v>74</v>
      </c>
      <c r="BJ869" s="1" t="s">
        <v>74</v>
      </c>
      <c r="BK869" s="1" t="s">
        <v>74</v>
      </c>
      <c r="BL869" s="1" t="s">
        <v>74</v>
      </c>
      <c r="BM869" s="1" t="s">
        <v>74</v>
      </c>
      <c r="BN869" s="1" t="s">
        <v>74</v>
      </c>
      <c r="BO869" s="1" t="s">
        <v>74</v>
      </c>
      <c r="BP869" s="1" t="s">
        <v>74</v>
      </c>
      <c r="BQ869" s="1" t="s">
        <v>74</v>
      </c>
      <c r="BR869" s="1" t="s">
        <v>74</v>
      </c>
      <c r="BS869" s="1" t="s">
        <v>8650</v>
      </c>
      <c r="BT869" s="1" t="str">
        <f>HYPERLINK("https%3A%2F%2Fwww.webofscience.com%2Fwos%2Fwoscc%2Ffull-record%2FWOS:000472966400001","View Full Record in Web of Science")</f>
        <v>View Full Record in Web of Science</v>
      </c>
    </row>
    <row r="870" ht="12.75" customHeight="1">
      <c r="A870" s="1" t="s">
        <v>72</v>
      </c>
      <c r="B870" s="1" t="s">
        <v>8651</v>
      </c>
      <c r="C870" s="1" t="s">
        <v>74</v>
      </c>
      <c r="D870" s="1" t="s">
        <v>74</v>
      </c>
      <c r="E870" s="1" t="s">
        <v>74</v>
      </c>
      <c r="F870" s="1" t="s">
        <v>8652</v>
      </c>
      <c r="G870" s="1" t="s">
        <v>74</v>
      </c>
      <c r="H870" s="1" t="s">
        <v>74</v>
      </c>
      <c r="I870" s="1" t="s">
        <v>8653</v>
      </c>
      <c r="J870" s="1" t="s">
        <v>8654</v>
      </c>
      <c r="K870" s="1" t="s">
        <v>74</v>
      </c>
      <c r="L870" s="1" t="s">
        <v>74</v>
      </c>
      <c r="M870" s="1" t="s">
        <v>74</v>
      </c>
      <c r="N870" s="1" t="s">
        <v>74</v>
      </c>
      <c r="O870" s="1" t="s">
        <v>74</v>
      </c>
      <c r="P870" s="1" t="s">
        <v>74</v>
      </c>
      <c r="Q870" s="1" t="s">
        <v>74</v>
      </c>
      <c r="R870" s="1" t="s">
        <v>74</v>
      </c>
      <c r="S870" s="1" t="s">
        <v>74</v>
      </c>
      <c r="T870" s="1" t="s">
        <v>74</v>
      </c>
      <c r="U870" s="1" t="s">
        <v>74</v>
      </c>
      <c r="V870" s="1" t="s">
        <v>8655</v>
      </c>
      <c r="W870" s="1" t="s">
        <v>74</v>
      </c>
      <c r="X870" s="1" t="s">
        <v>74</v>
      </c>
      <c r="Y870" s="1" t="s">
        <v>74</v>
      </c>
      <c r="Z870" s="1" t="s">
        <v>74</v>
      </c>
      <c r="AA870" s="1" t="s">
        <v>5799</v>
      </c>
      <c r="AB870" s="1" t="s">
        <v>8656</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8657</v>
      </c>
      <c r="AP870" s="1" t="s">
        <v>8658</v>
      </c>
      <c r="AQ870" s="1" t="s">
        <v>74</v>
      </c>
      <c r="AR870" s="1" t="s">
        <v>74</v>
      </c>
      <c r="AS870" s="1" t="s">
        <v>74</v>
      </c>
      <c r="AT870" s="1" t="s">
        <v>214</v>
      </c>
      <c r="AU870" s="1">
        <v>2019.0</v>
      </c>
      <c r="AV870" s="1">
        <v>72.0</v>
      </c>
      <c r="AW870" s="1">
        <v>2.0</v>
      </c>
      <c r="AX870" s="1" t="s">
        <v>74</v>
      </c>
      <c r="AY870" s="1" t="s">
        <v>74</v>
      </c>
      <c r="AZ870" s="1" t="s">
        <v>448</v>
      </c>
      <c r="BA870" s="1" t="s">
        <v>74</v>
      </c>
      <c r="BB870" s="1">
        <v>311.0</v>
      </c>
      <c r="BC870" s="1">
        <v>321.0</v>
      </c>
      <c r="BD870" s="1" t="s">
        <v>74</v>
      </c>
      <c r="BE870" s="1" t="s">
        <v>8659</v>
      </c>
      <c r="BF870" s="2" t="str">
        <f>HYPERLINK("http://dx.doi.org/10.1080/17470218.2016.1265996","http://dx.doi.org/10.1080/17470218.2016.1265996")</f>
        <v>http://dx.doi.org/10.1080/17470218.2016.1265996</v>
      </c>
      <c r="BG870" s="1" t="s">
        <v>74</v>
      </c>
      <c r="BH870" s="1" t="s">
        <v>74</v>
      </c>
      <c r="BI870" s="1" t="s">
        <v>74</v>
      </c>
      <c r="BJ870" s="1" t="s">
        <v>74</v>
      </c>
      <c r="BK870" s="1" t="s">
        <v>74</v>
      </c>
      <c r="BL870" s="1" t="s">
        <v>74</v>
      </c>
      <c r="BM870" s="1" t="s">
        <v>74</v>
      </c>
      <c r="BN870" s="1">
        <v>2.7894212E7</v>
      </c>
      <c r="BO870" s="1" t="s">
        <v>74</v>
      </c>
      <c r="BP870" s="1" t="s">
        <v>74</v>
      </c>
      <c r="BQ870" s="1" t="s">
        <v>74</v>
      </c>
      <c r="BR870" s="1" t="s">
        <v>74</v>
      </c>
      <c r="BS870" s="1" t="s">
        <v>8660</v>
      </c>
      <c r="BT870" s="1" t="str">
        <f>HYPERLINK("https%3A%2F%2Fwww.webofscience.com%2Fwos%2Fwoscc%2Ffull-record%2FWOS:000456681900017","View Full Record in Web of Science")</f>
        <v>View Full Record in Web of Science</v>
      </c>
    </row>
    <row r="871" ht="12.75" customHeight="1">
      <c r="A871" s="1" t="s">
        <v>72</v>
      </c>
      <c r="B871" s="1" t="s">
        <v>8661</v>
      </c>
      <c r="C871" s="1" t="s">
        <v>74</v>
      </c>
      <c r="D871" s="1" t="s">
        <v>74</v>
      </c>
      <c r="E871" s="1" t="s">
        <v>74</v>
      </c>
      <c r="F871" s="1" t="s">
        <v>8662</v>
      </c>
      <c r="G871" s="1" t="s">
        <v>74</v>
      </c>
      <c r="H871" s="1" t="s">
        <v>74</v>
      </c>
      <c r="I871" s="1" t="s">
        <v>8663</v>
      </c>
      <c r="J871" s="1" t="s">
        <v>8664</v>
      </c>
      <c r="K871" s="1" t="s">
        <v>74</v>
      </c>
      <c r="L871" s="1" t="s">
        <v>74</v>
      </c>
      <c r="M871" s="1" t="s">
        <v>74</v>
      </c>
      <c r="N871" s="1" t="s">
        <v>74</v>
      </c>
      <c r="O871" s="1" t="s">
        <v>74</v>
      </c>
      <c r="P871" s="1" t="s">
        <v>74</v>
      </c>
      <c r="Q871" s="1" t="s">
        <v>74</v>
      </c>
      <c r="R871" s="1" t="s">
        <v>74</v>
      </c>
      <c r="S871" s="1" t="s">
        <v>74</v>
      </c>
      <c r="T871" s="1" t="s">
        <v>74</v>
      </c>
      <c r="U871" s="1" t="s">
        <v>74</v>
      </c>
      <c r="V871" s="1" t="s">
        <v>74</v>
      </c>
      <c r="W871" s="1" t="s">
        <v>74</v>
      </c>
      <c r="X871" s="1" t="s">
        <v>74</v>
      </c>
      <c r="Y871" s="1" t="s">
        <v>74</v>
      </c>
      <c r="Z871" s="1" t="s">
        <v>74</v>
      </c>
      <c r="AA871" s="1" t="s">
        <v>8665</v>
      </c>
      <c r="AB871" s="1" t="s">
        <v>8666</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8667</v>
      </c>
      <c r="AP871" s="1" t="s">
        <v>74</v>
      </c>
      <c r="AQ871" s="1" t="s">
        <v>74</v>
      </c>
      <c r="AR871" s="1" t="s">
        <v>74</v>
      </c>
      <c r="AS871" s="1" t="s">
        <v>74</v>
      </c>
      <c r="AT871" s="1" t="s">
        <v>202</v>
      </c>
      <c r="AU871" s="1">
        <v>2013.0</v>
      </c>
      <c r="AV871" s="1">
        <v>60.0</v>
      </c>
      <c r="AW871" s="1">
        <v>6.0</v>
      </c>
      <c r="AX871" s="1" t="s">
        <v>74</v>
      </c>
      <c r="AY871" s="1" t="s">
        <v>74</v>
      </c>
      <c r="AZ871" s="1" t="s">
        <v>74</v>
      </c>
      <c r="BA871" s="1" t="s">
        <v>74</v>
      </c>
      <c r="BB871" s="1">
        <v>2358.0</v>
      </c>
      <c r="BC871" s="1">
        <v>2359.0</v>
      </c>
      <c r="BD871" s="1" t="s">
        <v>74</v>
      </c>
      <c r="BE871" s="1" t="s">
        <v>8668</v>
      </c>
      <c r="BF871" s="2" t="str">
        <f>HYPERLINK("http://dx.doi.org/10.1109/TIE.2012.2234318","http://dx.doi.org/10.1109/TIE.2012.2234318")</f>
        <v>http://dx.doi.org/10.1109/TIE.2012.2234318</v>
      </c>
      <c r="BG871" s="1" t="s">
        <v>74</v>
      </c>
      <c r="BH871" s="1" t="s">
        <v>74</v>
      </c>
      <c r="BI871" s="1" t="s">
        <v>74</v>
      </c>
      <c r="BJ871" s="1" t="s">
        <v>74</v>
      </c>
      <c r="BK871" s="1" t="s">
        <v>74</v>
      </c>
      <c r="BL871" s="1" t="s">
        <v>74</v>
      </c>
      <c r="BM871" s="1" t="s">
        <v>74</v>
      </c>
      <c r="BN871" s="1" t="s">
        <v>74</v>
      </c>
      <c r="BO871" s="1" t="s">
        <v>74</v>
      </c>
      <c r="BP871" s="1" t="s">
        <v>74</v>
      </c>
      <c r="BQ871" s="1" t="s">
        <v>74</v>
      </c>
      <c r="BR871" s="1" t="s">
        <v>74</v>
      </c>
      <c r="BS871" s="1" t="s">
        <v>8669</v>
      </c>
      <c r="BT871" s="1" t="str">
        <f>HYPERLINK("https%3A%2F%2Fwww.webofscience.com%2Fwos%2Fwoscc%2Ffull-record%2FWOS:000314975400022","View Full Record in Web of Science")</f>
        <v>View Full Record in Web of Science</v>
      </c>
    </row>
    <row r="872" ht="12.75" customHeight="1">
      <c r="A872" s="1" t="s">
        <v>72</v>
      </c>
      <c r="B872" s="1" t="s">
        <v>8670</v>
      </c>
      <c r="C872" s="1" t="s">
        <v>74</v>
      </c>
      <c r="D872" s="1" t="s">
        <v>74</v>
      </c>
      <c r="E872" s="1" t="s">
        <v>74</v>
      </c>
      <c r="F872" s="1" t="s">
        <v>8671</v>
      </c>
      <c r="G872" s="1" t="s">
        <v>74</v>
      </c>
      <c r="H872" s="1" t="s">
        <v>74</v>
      </c>
      <c r="I872" s="1" t="s">
        <v>8672</v>
      </c>
      <c r="J872" s="1" t="s">
        <v>5113</v>
      </c>
      <c r="K872" s="1" t="s">
        <v>74</v>
      </c>
      <c r="L872" s="1" t="s">
        <v>74</v>
      </c>
      <c r="M872" s="1" t="s">
        <v>74</v>
      </c>
      <c r="N872" s="1" t="s">
        <v>74</v>
      </c>
      <c r="O872" s="1" t="s">
        <v>74</v>
      </c>
      <c r="P872" s="1" t="s">
        <v>74</v>
      </c>
      <c r="Q872" s="1" t="s">
        <v>74</v>
      </c>
      <c r="R872" s="1" t="s">
        <v>74</v>
      </c>
      <c r="S872" s="1" t="s">
        <v>74</v>
      </c>
      <c r="T872" s="1" t="s">
        <v>74</v>
      </c>
      <c r="U872" s="1" t="s">
        <v>74</v>
      </c>
      <c r="V872" s="1" t="s">
        <v>8673</v>
      </c>
      <c r="W872" s="1" t="s">
        <v>74</v>
      </c>
      <c r="X872" s="1" t="s">
        <v>74</v>
      </c>
      <c r="Y872" s="1" t="s">
        <v>74</v>
      </c>
      <c r="Z872" s="1" t="s">
        <v>74</v>
      </c>
      <c r="AA872" s="1" t="s">
        <v>8674</v>
      </c>
      <c r="AB872" s="1" t="s">
        <v>8675</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5116</v>
      </c>
      <c r="AP872" s="1" t="s">
        <v>74</v>
      </c>
      <c r="AQ872" s="1" t="s">
        <v>74</v>
      </c>
      <c r="AR872" s="1" t="s">
        <v>74</v>
      </c>
      <c r="AS872" s="1" t="s">
        <v>74</v>
      </c>
      <c r="AT872" s="1" t="s">
        <v>8676</v>
      </c>
      <c r="AU872" s="1">
        <v>2022.0</v>
      </c>
      <c r="AV872" s="1">
        <v>8.0</v>
      </c>
      <c r="AW872" s="1" t="s">
        <v>74</v>
      </c>
      <c r="AX872" s="1" t="s">
        <v>74</v>
      </c>
      <c r="AY872" s="1" t="s">
        <v>74</v>
      </c>
      <c r="AZ872" s="1" t="s">
        <v>74</v>
      </c>
      <c r="BA872" s="1" t="s">
        <v>74</v>
      </c>
      <c r="BB872" s="1" t="s">
        <v>74</v>
      </c>
      <c r="BC872" s="1" t="s">
        <v>74</v>
      </c>
      <c r="BD872" s="1">
        <v>777559.0</v>
      </c>
      <c r="BE872" s="1" t="s">
        <v>8677</v>
      </c>
      <c r="BF872" s="2" t="str">
        <f>HYPERLINK("http://dx.doi.org/10.3389/fspas.2021.777559","http://dx.doi.org/10.3389/fspas.2021.777559")</f>
        <v>http://dx.doi.org/10.3389/fspas.2021.777559</v>
      </c>
      <c r="BG872" s="1" t="s">
        <v>74</v>
      </c>
      <c r="BH872" s="1" t="s">
        <v>74</v>
      </c>
      <c r="BI872" s="1" t="s">
        <v>74</v>
      </c>
      <c r="BJ872" s="1" t="s">
        <v>74</v>
      </c>
      <c r="BK872" s="1" t="s">
        <v>74</v>
      </c>
      <c r="BL872" s="1" t="s">
        <v>74</v>
      </c>
      <c r="BM872" s="1" t="s">
        <v>74</v>
      </c>
      <c r="BN872" s="1" t="s">
        <v>74</v>
      </c>
      <c r="BO872" s="1" t="s">
        <v>74</v>
      </c>
      <c r="BP872" s="1" t="s">
        <v>74</v>
      </c>
      <c r="BQ872" s="1" t="s">
        <v>74</v>
      </c>
      <c r="BR872" s="1" t="s">
        <v>74</v>
      </c>
      <c r="BS872" s="1" t="s">
        <v>8678</v>
      </c>
      <c r="BT872" s="1" t="str">
        <f>HYPERLINK("https%3A%2F%2Fwww.webofscience.com%2Fwos%2Fwoscc%2Ffull-record%2FWOS:000749786900001","View Full Record in Web of Science")</f>
        <v>View Full Record in Web of Science</v>
      </c>
    </row>
    <row r="873" ht="12.75" customHeight="1">
      <c r="A873" s="1" t="s">
        <v>72</v>
      </c>
      <c r="B873" s="1" t="s">
        <v>8679</v>
      </c>
      <c r="C873" s="1" t="s">
        <v>74</v>
      </c>
      <c r="D873" s="1" t="s">
        <v>74</v>
      </c>
      <c r="E873" s="1" t="s">
        <v>74</v>
      </c>
      <c r="F873" s="1" t="s">
        <v>8680</v>
      </c>
      <c r="G873" s="1" t="s">
        <v>74</v>
      </c>
      <c r="H873" s="1" t="s">
        <v>74</v>
      </c>
      <c r="I873" s="1" t="s">
        <v>8681</v>
      </c>
      <c r="J873" s="1" t="s">
        <v>8682</v>
      </c>
      <c r="K873" s="1" t="s">
        <v>74</v>
      </c>
      <c r="L873" s="1" t="s">
        <v>74</v>
      </c>
      <c r="M873" s="1" t="s">
        <v>74</v>
      </c>
      <c r="N873" s="1" t="s">
        <v>74</v>
      </c>
      <c r="O873" s="1" t="s">
        <v>74</v>
      </c>
      <c r="P873" s="1" t="s">
        <v>74</v>
      </c>
      <c r="Q873" s="1" t="s">
        <v>74</v>
      </c>
      <c r="R873" s="1" t="s">
        <v>74</v>
      </c>
      <c r="S873" s="1" t="s">
        <v>74</v>
      </c>
      <c r="T873" s="1" t="s">
        <v>74</v>
      </c>
      <c r="U873" s="1" t="s">
        <v>74</v>
      </c>
      <c r="V873" s="1" t="s">
        <v>8683</v>
      </c>
      <c r="W873" s="1" t="s">
        <v>74</v>
      </c>
      <c r="X873" s="1" t="s">
        <v>74</v>
      </c>
      <c r="Y873" s="1" t="s">
        <v>74</v>
      </c>
      <c r="Z873" s="1" t="s">
        <v>74</v>
      </c>
      <c r="AA873" s="1" t="s">
        <v>8684</v>
      </c>
      <c r="AB873" s="1" t="s">
        <v>8685</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8686</v>
      </c>
      <c r="AP873" s="1" t="s">
        <v>8687</v>
      </c>
      <c r="AQ873" s="1" t="s">
        <v>74</v>
      </c>
      <c r="AR873" s="1" t="s">
        <v>74</v>
      </c>
      <c r="AS873" s="1" t="s">
        <v>74</v>
      </c>
      <c r="AT873" s="1" t="s">
        <v>8688</v>
      </c>
      <c r="AU873" s="1">
        <v>2019.0</v>
      </c>
      <c r="AV873" s="1">
        <v>117.0</v>
      </c>
      <c r="AW873" s="1">
        <v>5.0</v>
      </c>
      <c r="AX873" s="1" t="s">
        <v>74</v>
      </c>
      <c r="AY873" s="1" t="s">
        <v>74</v>
      </c>
      <c r="AZ873" s="1" t="s">
        <v>74</v>
      </c>
      <c r="BA873" s="1" t="s">
        <v>74</v>
      </c>
      <c r="BB873" s="1">
        <v>880.0</v>
      </c>
      <c r="BC873" s="1">
        <v>891.0</v>
      </c>
      <c r="BD873" s="1" t="s">
        <v>74</v>
      </c>
      <c r="BE873" s="1" t="s">
        <v>8689</v>
      </c>
      <c r="BF873" s="2" t="str">
        <f>HYPERLINK("http://dx.doi.org/10.1016/j.bpj.2019.07.046","http://dx.doi.org/10.1016/j.bpj.2019.07.046")</f>
        <v>http://dx.doi.org/10.1016/j.bpj.2019.07.046</v>
      </c>
      <c r="BG873" s="1" t="s">
        <v>74</v>
      </c>
      <c r="BH873" s="1" t="s">
        <v>74</v>
      </c>
      <c r="BI873" s="1" t="s">
        <v>74</v>
      </c>
      <c r="BJ873" s="1" t="s">
        <v>74</v>
      </c>
      <c r="BK873" s="1" t="s">
        <v>74</v>
      </c>
      <c r="BL873" s="1" t="s">
        <v>74</v>
      </c>
      <c r="BM873" s="1" t="s">
        <v>74</v>
      </c>
      <c r="BN873" s="1">
        <v>3.142707E7</v>
      </c>
      <c r="BO873" s="1" t="s">
        <v>74</v>
      </c>
      <c r="BP873" s="1" t="s">
        <v>74</v>
      </c>
      <c r="BQ873" s="1" t="s">
        <v>74</v>
      </c>
      <c r="BR873" s="1" t="s">
        <v>74</v>
      </c>
      <c r="BS873" s="1" t="s">
        <v>8690</v>
      </c>
      <c r="BT873" s="1" t="str">
        <f>HYPERLINK("https%3A%2F%2Fwww.webofscience.com%2Fwos%2Fwoscc%2Ffull-record%2FWOS:000484365900010","View Full Record in Web of Science")</f>
        <v>View Full Record in Web of Science</v>
      </c>
    </row>
    <row r="874" ht="12.75" customHeight="1">
      <c r="A874" s="1" t="s">
        <v>72</v>
      </c>
      <c r="B874" s="1" t="s">
        <v>8691</v>
      </c>
      <c r="C874" s="1" t="s">
        <v>74</v>
      </c>
      <c r="D874" s="1" t="s">
        <v>74</v>
      </c>
      <c r="E874" s="1" t="s">
        <v>74</v>
      </c>
      <c r="F874" s="1" t="s">
        <v>8692</v>
      </c>
      <c r="G874" s="1" t="s">
        <v>74</v>
      </c>
      <c r="H874" s="1" t="s">
        <v>74</v>
      </c>
      <c r="I874" s="1" t="s">
        <v>8693</v>
      </c>
      <c r="J874" s="1" t="s">
        <v>8694</v>
      </c>
      <c r="K874" s="1" t="s">
        <v>74</v>
      </c>
      <c r="L874" s="1" t="s">
        <v>74</v>
      </c>
      <c r="M874" s="1" t="s">
        <v>74</v>
      </c>
      <c r="N874" s="1" t="s">
        <v>74</v>
      </c>
      <c r="O874" s="1" t="s">
        <v>74</v>
      </c>
      <c r="P874" s="1" t="s">
        <v>74</v>
      </c>
      <c r="Q874" s="1" t="s">
        <v>74</v>
      </c>
      <c r="R874" s="1" t="s">
        <v>74</v>
      </c>
      <c r="S874" s="1" t="s">
        <v>74</v>
      </c>
      <c r="T874" s="1" t="s">
        <v>74</v>
      </c>
      <c r="U874" s="1" t="s">
        <v>74</v>
      </c>
      <c r="V874" s="1" t="s">
        <v>8695</v>
      </c>
      <c r="W874" s="1" t="s">
        <v>74</v>
      </c>
      <c r="X874" s="1" t="s">
        <v>74</v>
      </c>
      <c r="Y874" s="1" t="s">
        <v>74</v>
      </c>
      <c r="Z874" s="1" t="s">
        <v>74</v>
      </c>
      <c r="AA874" s="1" t="s">
        <v>8696</v>
      </c>
      <c r="AB874" s="1" t="s">
        <v>8697</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8698</v>
      </c>
      <c r="AP874" s="1" t="s">
        <v>8699</v>
      </c>
      <c r="AQ874" s="1" t="s">
        <v>74</v>
      </c>
      <c r="AR874" s="1" t="s">
        <v>74</v>
      </c>
      <c r="AS874" s="1" t="s">
        <v>74</v>
      </c>
      <c r="AT874" s="1" t="s">
        <v>334</v>
      </c>
      <c r="AU874" s="1">
        <v>2017.0</v>
      </c>
      <c r="AV874" s="1">
        <v>199.0</v>
      </c>
      <c r="AW874" s="1">
        <v>19.0</v>
      </c>
      <c r="AX874" s="1" t="s">
        <v>74</v>
      </c>
      <c r="AY874" s="1" t="s">
        <v>74</v>
      </c>
      <c r="AZ874" s="1" t="s">
        <v>74</v>
      </c>
      <c r="BA874" s="1" t="s">
        <v>74</v>
      </c>
      <c r="BB874" s="1" t="s">
        <v>74</v>
      </c>
      <c r="BC874" s="1" t="s">
        <v>74</v>
      </c>
      <c r="BD874" s="1" t="s">
        <v>8700</v>
      </c>
      <c r="BE874" s="1" t="s">
        <v>8701</v>
      </c>
      <c r="BF874" s="2" t="str">
        <f>HYPERLINK("http://dx.doi.org/10.1128/JB.00211-17","http://dx.doi.org/10.1128/JB.00211-17")</f>
        <v>http://dx.doi.org/10.1128/JB.00211-17</v>
      </c>
      <c r="BG874" s="1" t="s">
        <v>74</v>
      </c>
      <c r="BH874" s="1" t="s">
        <v>74</v>
      </c>
      <c r="BI874" s="1" t="s">
        <v>74</v>
      </c>
      <c r="BJ874" s="1" t="s">
        <v>74</v>
      </c>
      <c r="BK874" s="1" t="s">
        <v>74</v>
      </c>
      <c r="BL874" s="1" t="s">
        <v>74</v>
      </c>
      <c r="BM874" s="1" t="s">
        <v>74</v>
      </c>
      <c r="BN874" s="1">
        <v>2.871696E7</v>
      </c>
      <c r="BO874" s="1" t="s">
        <v>74</v>
      </c>
      <c r="BP874" s="1" t="s">
        <v>74</v>
      </c>
      <c r="BQ874" s="1" t="s">
        <v>74</v>
      </c>
      <c r="BR874" s="1" t="s">
        <v>74</v>
      </c>
      <c r="BS874" s="1" t="s">
        <v>8702</v>
      </c>
      <c r="BT874" s="1" t="str">
        <f>HYPERLINK("https%3A%2F%2Fwww.webofscience.com%2Fwos%2Fwoscc%2Ffull-record%2FWOS:000409460800004","View Full Record in Web of Science")</f>
        <v>View Full Record in Web of Science</v>
      </c>
    </row>
    <row r="875" ht="12.75" customHeight="1">
      <c r="A875" s="1" t="s">
        <v>72</v>
      </c>
      <c r="B875" s="1" t="s">
        <v>8703</v>
      </c>
      <c r="C875" s="1" t="s">
        <v>74</v>
      </c>
      <c r="D875" s="1" t="s">
        <v>74</v>
      </c>
      <c r="E875" s="1" t="s">
        <v>74</v>
      </c>
      <c r="F875" s="1" t="s">
        <v>8704</v>
      </c>
      <c r="G875" s="1" t="s">
        <v>74</v>
      </c>
      <c r="H875" s="1" t="s">
        <v>74</v>
      </c>
      <c r="I875" s="1" t="s">
        <v>8705</v>
      </c>
      <c r="J875" s="1" t="s">
        <v>2479</v>
      </c>
      <c r="K875" s="1" t="s">
        <v>74</v>
      </c>
      <c r="L875" s="1" t="s">
        <v>74</v>
      </c>
      <c r="M875" s="1" t="s">
        <v>74</v>
      </c>
      <c r="N875" s="1" t="s">
        <v>74</v>
      </c>
      <c r="O875" s="1" t="s">
        <v>74</v>
      </c>
      <c r="P875" s="1" t="s">
        <v>74</v>
      </c>
      <c r="Q875" s="1" t="s">
        <v>74</v>
      </c>
      <c r="R875" s="1" t="s">
        <v>74</v>
      </c>
      <c r="S875" s="1" t="s">
        <v>74</v>
      </c>
      <c r="T875" s="1" t="s">
        <v>74</v>
      </c>
      <c r="U875" s="1" t="s">
        <v>74</v>
      </c>
      <c r="V875" s="1" t="s">
        <v>8706</v>
      </c>
      <c r="W875" s="1" t="s">
        <v>74</v>
      </c>
      <c r="X875" s="1" t="s">
        <v>74</v>
      </c>
      <c r="Y875" s="1" t="s">
        <v>74</v>
      </c>
      <c r="Z875" s="1" t="s">
        <v>74</v>
      </c>
      <c r="AA875" s="1" t="s">
        <v>8707</v>
      </c>
      <c r="AB875" s="1" t="s">
        <v>8708</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2483</v>
      </c>
      <c r="AP875" s="1" t="s">
        <v>74</v>
      </c>
      <c r="AQ875" s="1" t="s">
        <v>74</v>
      </c>
      <c r="AR875" s="1" t="s">
        <v>74</v>
      </c>
      <c r="AS875" s="1" t="s">
        <v>74</v>
      </c>
      <c r="AT875" s="1" t="s">
        <v>7272</v>
      </c>
      <c r="AU875" s="1">
        <v>2019.0</v>
      </c>
      <c r="AV875" s="1">
        <v>10.0</v>
      </c>
      <c r="AW875" s="1" t="s">
        <v>74</v>
      </c>
      <c r="AX875" s="1" t="s">
        <v>74</v>
      </c>
      <c r="AY875" s="1" t="s">
        <v>74</v>
      </c>
      <c r="AZ875" s="1" t="s">
        <v>74</v>
      </c>
      <c r="BA875" s="1" t="s">
        <v>74</v>
      </c>
      <c r="BB875" s="1" t="s">
        <v>74</v>
      </c>
      <c r="BC875" s="1" t="s">
        <v>74</v>
      </c>
      <c r="BD875" s="1">
        <v>466.0</v>
      </c>
      <c r="BE875" s="1" t="s">
        <v>8709</v>
      </c>
      <c r="BF875" s="2" t="str">
        <f>HYPERLINK("http://dx.doi.org/10.3389/fphar.2019.00466","http://dx.doi.org/10.3389/fphar.2019.00466")</f>
        <v>http://dx.doi.org/10.3389/fphar.2019.00466</v>
      </c>
      <c r="BG875" s="1" t="s">
        <v>74</v>
      </c>
      <c r="BH875" s="1" t="s">
        <v>74</v>
      </c>
      <c r="BI875" s="1" t="s">
        <v>74</v>
      </c>
      <c r="BJ875" s="1" t="s">
        <v>74</v>
      </c>
      <c r="BK875" s="1" t="s">
        <v>74</v>
      </c>
      <c r="BL875" s="1" t="s">
        <v>74</v>
      </c>
      <c r="BM875" s="1" t="s">
        <v>74</v>
      </c>
      <c r="BN875" s="1">
        <v>3.126341E7</v>
      </c>
      <c r="BO875" s="1" t="s">
        <v>74</v>
      </c>
      <c r="BP875" s="1" t="s">
        <v>74</v>
      </c>
      <c r="BQ875" s="1" t="s">
        <v>74</v>
      </c>
      <c r="BR875" s="1" t="s">
        <v>74</v>
      </c>
      <c r="BS875" s="1" t="s">
        <v>8710</v>
      </c>
      <c r="BT875" s="1" t="str">
        <f>HYPERLINK("https%3A%2F%2Fwww.webofscience.com%2Fwos%2Fwoscc%2Ffull-record%2FWOS:000471874500001","View Full Record in Web of Science")</f>
        <v>View Full Record in Web of Science</v>
      </c>
    </row>
    <row r="876" ht="12.75" customHeight="1">
      <c r="A876" s="1" t="s">
        <v>72</v>
      </c>
      <c r="B876" s="1" t="s">
        <v>8711</v>
      </c>
      <c r="C876" s="1" t="s">
        <v>74</v>
      </c>
      <c r="D876" s="1" t="s">
        <v>74</v>
      </c>
      <c r="E876" s="1" t="s">
        <v>74</v>
      </c>
      <c r="F876" s="1" t="s">
        <v>8712</v>
      </c>
      <c r="G876" s="1" t="s">
        <v>74</v>
      </c>
      <c r="H876" s="1" t="s">
        <v>74</v>
      </c>
      <c r="I876" s="1" t="s">
        <v>8713</v>
      </c>
      <c r="J876" s="1" t="s">
        <v>2720</v>
      </c>
      <c r="K876" s="1" t="s">
        <v>74</v>
      </c>
      <c r="L876" s="1" t="s">
        <v>74</v>
      </c>
      <c r="M876" s="1" t="s">
        <v>74</v>
      </c>
      <c r="N876" s="1" t="s">
        <v>74</v>
      </c>
      <c r="O876" s="1" t="s">
        <v>74</v>
      </c>
      <c r="P876" s="1" t="s">
        <v>74</v>
      </c>
      <c r="Q876" s="1" t="s">
        <v>74</v>
      </c>
      <c r="R876" s="1" t="s">
        <v>74</v>
      </c>
      <c r="S876" s="1" t="s">
        <v>74</v>
      </c>
      <c r="T876" s="1" t="s">
        <v>74</v>
      </c>
      <c r="U876" s="1" t="s">
        <v>74</v>
      </c>
      <c r="V876" s="1" t="s">
        <v>8714</v>
      </c>
      <c r="W876" s="1" t="s">
        <v>74</v>
      </c>
      <c r="X876" s="1" t="s">
        <v>74</v>
      </c>
      <c r="Y876" s="1" t="s">
        <v>74</v>
      </c>
      <c r="Z876" s="1" t="s">
        <v>74</v>
      </c>
      <c r="AA876" s="1" t="s">
        <v>8715</v>
      </c>
      <c r="AB876" s="1" t="s">
        <v>8716</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2724</v>
      </c>
      <c r="AP876" s="1" t="s">
        <v>74</v>
      </c>
      <c r="AQ876" s="1" t="s">
        <v>74</v>
      </c>
      <c r="AR876" s="1" t="s">
        <v>74</v>
      </c>
      <c r="AS876" s="1" t="s">
        <v>74</v>
      </c>
      <c r="AT876" s="1" t="s">
        <v>141</v>
      </c>
      <c r="AU876" s="1">
        <v>2024.0</v>
      </c>
      <c r="AV876" s="1">
        <v>52.0</v>
      </c>
      <c r="AW876" s="1" t="s">
        <v>74</v>
      </c>
      <c r="AX876" s="1" t="s">
        <v>74</v>
      </c>
      <c r="AY876" s="1" t="s">
        <v>74</v>
      </c>
      <c r="AZ876" s="1" t="s">
        <v>74</v>
      </c>
      <c r="BA876" s="1" t="s">
        <v>74</v>
      </c>
      <c r="BB876" s="1" t="s">
        <v>74</v>
      </c>
      <c r="BC876" s="1" t="s">
        <v>74</v>
      </c>
      <c r="BD876" s="1">
        <v>104950.0</v>
      </c>
      <c r="BE876" s="1" t="s">
        <v>8717</v>
      </c>
      <c r="BF876" s="2" t="str">
        <f>HYPERLINK("http://dx.doi.org/10.1016/j.surfin.2024.104950","http://dx.doi.org/10.1016/j.surfin.2024.104950")</f>
        <v>http://dx.doi.org/10.1016/j.surfin.2024.104950</v>
      </c>
      <c r="BG876" s="1" t="s">
        <v>74</v>
      </c>
      <c r="BH876" s="1" t="s">
        <v>677</v>
      </c>
      <c r="BI876" s="1" t="s">
        <v>74</v>
      </c>
      <c r="BJ876" s="1" t="s">
        <v>74</v>
      </c>
      <c r="BK876" s="1" t="s">
        <v>74</v>
      </c>
      <c r="BL876" s="1" t="s">
        <v>74</v>
      </c>
      <c r="BM876" s="1" t="s">
        <v>74</v>
      </c>
      <c r="BN876" s="1" t="s">
        <v>74</v>
      </c>
      <c r="BO876" s="1" t="s">
        <v>74</v>
      </c>
      <c r="BP876" s="1" t="s">
        <v>74</v>
      </c>
      <c r="BQ876" s="1" t="s">
        <v>74</v>
      </c>
      <c r="BR876" s="1" t="s">
        <v>74</v>
      </c>
      <c r="BS876" s="1" t="s">
        <v>8718</v>
      </c>
      <c r="BT876" s="1" t="str">
        <f>HYPERLINK("https%3A%2F%2Fwww.webofscience.com%2Fwos%2Fwoscc%2Ffull-record%2FWOS:001300123600001","View Full Record in Web of Science")</f>
        <v>View Full Record in Web of Science</v>
      </c>
    </row>
    <row r="877" ht="12.75" customHeight="1">
      <c r="A877" s="1" t="s">
        <v>72</v>
      </c>
      <c r="B877" s="1" t="s">
        <v>8719</v>
      </c>
      <c r="C877" s="1" t="s">
        <v>74</v>
      </c>
      <c r="D877" s="1" t="s">
        <v>74</v>
      </c>
      <c r="E877" s="1" t="s">
        <v>74</v>
      </c>
      <c r="F877" s="1" t="s">
        <v>8720</v>
      </c>
      <c r="G877" s="1" t="s">
        <v>74</v>
      </c>
      <c r="H877" s="1" t="s">
        <v>74</v>
      </c>
      <c r="I877" s="1" t="s">
        <v>8721</v>
      </c>
      <c r="J877" s="1" t="s">
        <v>871</v>
      </c>
      <c r="K877" s="1" t="s">
        <v>74</v>
      </c>
      <c r="L877" s="1" t="s">
        <v>74</v>
      </c>
      <c r="M877" s="1" t="s">
        <v>74</v>
      </c>
      <c r="N877" s="1" t="s">
        <v>74</v>
      </c>
      <c r="O877" s="1" t="s">
        <v>74</v>
      </c>
      <c r="P877" s="1" t="s">
        <v>74</v>
      </c>
      <c r="Q877" s="1" t="s">
        <v>74</v>
      </c>
      <c r="R877" s="1" t="s">
        <v>74</v>
      </c>
      <c r="S877" s="1" t="s">
        <v>74</v>
      </c>
      <c r="T877" s="1" t="s">
        <v>74</v>
      </c>
      <c r="U877" s="1" t="s">
        <v>74</v>
      </c>
      <c r="V877" s="1" t="s">
        <v>8722</v>
      </c>
      <c r="W877" s="1" t="s">
        <v>74</v>
      </c>
      <c r="X877" s="1" t="s">
        <v>74</v>
      </c>
      <c r="Y877" s="1" t="s">
        <v>74</v>
      </c>
      <c r="Z877" s="1" t="s">
        <v>74</v>
      </c>
      <c r="AA877" s="1" t="s">
        <v>8723</v>
      </c>
      <c r="AB877" s="1" t="s">
        <v>8724</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74</v>
      </c>
      <c r="AP877" s="1" t="s">
        <v>875</v>
      </c>
      <c r="AQ877" s="1" t="s">
        <v>74</v>
      </c>
      <c r="AR877" s="1" t="s">
        <v>74</v>
      </c>
      <c r="AS877" s="1" t="s">
        <v>74</v>
      </c>
      <c r="AT877" s="1" t="s">
        <v>745</v>
      </c>
      <c r="AU877" s="1">
        <v>2022.0</v>
      </c>
      <c r="AV877" s="1">
        <v>15.0</v>
      </c>
      <c r="AW877" s="1">
        <v>13.0</v>
      </c>
      <c r="AX877" s="1" t="s">
        <v>74</v>
      </c>
      <c r="AY877" s="1" t="s">
        <v>74</v>
      </c>
      <c r="AZ877" s="1" t="s">
        <v>74</v>
      </c>
      <c r="BA877" s="1" t="s">
        <v>74</v>
      </c>
      <c r="BB877" s="1" t="s">
        <v>74</v>
      </c>
      <c r="BC877" s="1" t="s">
        <v>74</v>
      </c>
      <c r="BD877" s="1">
        <v>4536.0</v>
      </c>
      <c r="BE877" s="1" t="s">
        <v>8725</v>
      </c>
      <c r="BF877" s="2" t="str">
        <f>HYPERLINK("http://dx.doi.org/10.3390/ma15134536","http://dx.doi.org/10.3390/ma15134536")</f>
        <v>http://dx.doi.org/10.3390/ma15134536</v>
      </c>
      <c r="BG877" s="1" t="s">
        <v>74</v>
      </c>
      <c r="BH877" s="1" t="s">
        <v>74</v>
      </c>
      <c r="BI877" s="1" t="s">
        <v>74</v>
      </c>
      <c r="BJ877" s="1" t="s">
        <v>74</v>
      </c>
      <c r="BK877" s="1" t="s">
        <v>74</v>
      </c>
      <c r="BL877" s="1" t="s">
        <v>74</v>
      </c>
      <c r="BM877" s="1" t="s">
        <v>74</v>
      </c>
      <c r="BN877" s="1">
        <v>3.5806661E7</v>
      </c>
      <c r="BO877" s="1" t="s">
        <v>74</v>
      </c>
      <c r="BP877" s="1" t="s">
        <v>74</v>
      </c>
      <c r="BQ877" s="1" t="s">
        <v>74</v>
      </c>
      <c r="BR877" s="1" t="s">
        <v>74</v>
      </c>
      <c r="BS877" s="1" t="s">
        <v>8726</v>
      </c>
      <c r="BT877" s="1" t="str">
        <f>HYPERLINK("https%3A%2F%2Fwww.webofscience.com%2Fwos%2Fwoscc%2Ffull-record%2FWOS:000823924400001","View Full Record in Web of Science")</f>
        <v>View Full Record in Web of Science</v>
      </c>
    </row>
    <row r="878" ht="12.75" customHeight="1">
      <c r="A878" s="1" t="s">
        <v>72</v>
      </c>
      <c r="B878" s="1" t="s">
        <v>8727</v>
      </c>
      <c r="C878" s="1" t="s">
        <v>74</v>
      </c>
      <c r="D878" s="1" t="s">
        <v>74</v>
      </c>
      <c r="E878" s="1" t="s">
        <v>74</v>
      </c>
      <c r="F878" s="1" t="s">
        <v>8728</v>
      </c>
      <c r="G878" s="1" t="s">
        <v>74</v>
      </c>
      <c r="H878" s="1" t="s">
        <v>74</v>
      </c>
      <c r="I878" s="1" t="s">
        <v>8729</v>
      </c>
      <c r="J878" s="1" t="s">
        <v>1226</v>
      </c>
      <c r="K878" s="1" t="s">
        <v>74</v>
      </c>
      <c r="L878" s="1" t="s">
        <v>74</v>
      </c>
      <c r="M878" s="1" t="s">
        <v>74</v>
      </c>
      <c r="N878" s="1" t="s">
        <v>74</v>
      </c>
      <c r="O878" s="1" t="s">
        <v>74</v>
      </c>
      <c r="P878" s="1" t="s">
        <v>74</v>
      </c>
      <c r="Q878" s="1" t="s">
        <v>74</v>
      </c>
      <c r="R878" s="1" t="s">
        <v>74</v>
      </c>
      <c r="S878" s="1" t="s">
        <v>74</v>
      </c>
      <c r="T878" s="1" t="s">
        <v>74</v>
      </c>
      <c r="U878" s="1" t="s">
        <v>74</v>
      </c>
      <c r="V878" s="1" t="s">
        <v>8730</v>
      </c>
      <c r="W878" s="1" t="s">
        <v>74</v>
      </c>
      <c r="X878" s="1" t="s">
        <v>74</v>
      </c>
      <c r="Y878" s="1" t="s">
        <v>74</v>
      </c>
      <c r="Z878" s="1" t="s">
        <v>74</v>
      </c>
      <c r="AA878" s="1" t="s">
        <v>8731</v>
      </c>
      <c r="AB878" s="1" t="s">
        <v>8732</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1228</v>
      </c>
      <c r="AP878" s="1" t="s">
        <v>1229</v>
      </c>
      <c r="AQ878" s="1" t="s">
        <v>74</v>
      </c>
      <c r="AR878" s="1" t="s">
        <v>74</v>
      </c>
      <c r="AS878" s="1" t="s">
        <v>74</v>
      </c>
      <c r="AT878" s="1" t="s">
        <v>8733</v>
      </c>
      <c r="AU878" s="1">
        <v>2024.0</v>
      </c>
      <c r="AV878" s="1">
        <v>687.0</v>
      </c>
      <c r="AW878" s="1" t="s">
        <v>74</v>
      </c>
      <c r="AX878" s="1" t="s">
        <v>74</v>
      </c>
      <c r="AY878" s="1" t="s">
        <v>74</v>
      </c>
      <c r="AZ878" s="1" t="s">
        <v>74</v>
      </c>
      <c r="BA878" s="1" t="s">
        <v>74</v>
      </c>
      <c r="BB878" s="1" t="s">
        <v>74</v>
      </c>
      <c r="BC878" s="1" t="s">
        <v>74</v>
      </c>
      <c r="BD878" s="1" t="s">
        <v>8734</v>
      </c>
      <c r="BE878" s="1" t="s">
        <v>8735</v>
      </c>
      <c r="BF878" s="2" t="str">
        <f>HYPERLINK("http://dx.doi.org/10.1051/0004-6361/202449222","http://dx.doi.org/10.1051/0004-6361/202449222")</f>
        <v>http://dx.doi.org/10.1051/0004-6361/202449222</v>
      </c>
      <c r="BG878" s="1" t="s">
        <v>74</v>
      </c>
      <c r="BH878" s="1" t="s">
        <v>74</v>
      </c>
      <c r="BI878" s="1" t="s">
        <v>74</v>
      </c>
      <c r="BJ878" s="1" t="s">
        <v>74</v>
      </c>
      <c r="BK878" s="1" t="s">
        <v>74</v>
      </c>
      <c r="BL878" s="1" t="s">
        <v>74</v>
      </c>
      <c r="BM878" s="1" t="s">
        <v>74</v>
      </c>
      <c r="BN878" s="1" t="s">
        <v>74</v>
      </c>
      <c r="BO878" s="1" t="s">
        <v>74</v>
      </c>
      <c r="BP878" s="1" t="s">
        <v>74</v>
      </c>
      <c r="BQ878" s="1" t="s">
        <v>74</v>
      </c>
      <c r="BR878" s="1" t="s">
        <v>74</v>
      </c>
      <c r="BS878" s="1" t="s">
        <v>8736</v>
      </c>
      <c r="BT878" s="1" t="str">
        <f>HYPERLINK("https%3A%2F%2Fwww.webofscience.com%2Fwos%2Fwoscc%2Ffull-record%2FWOS:001275047000005","View Full Record in Web of Science")</f>
        <v>View Full Record in Web of Science</v>
      </c>
    </row>
    <row r="879" ht="12.75" customHeight="1">
      <c r="A879" s="1" t="s">
        <v>72</v>
      </c>
      <c r="B879" s="1" t="s">
        <v>8737</v>
      </c>
      <c r="C879" s="1" t="s">
        <v>74</v>
      </c>
      <c r="D879" s="1" t="s">
        <v>74</v>
      </c>
      <c r="E879" s="1" t="s">
        <v>74</v>
      </c>
      <c r="F879" s="1" t="s">
        <v>8738</v>
      </c>
      <c r="G879" s="1" t="s">
        <v>74</v>
      </c>
      <c r="H879" s="1" t="s">
        <v>74</v>
      </c>
      <c r="I879" s="1" t="s">
        <v>8739</v>
      </c>
      <c r="J879" s="1" t="s">
        <v>259</v>
      </c>
      <c r="K879" s="1" t="s">
        <v>74</v>
      </c>
      <c r="L879" s="1" t="s">
        <v>74</v>
      </c>
      <c r="M879" s="1" t="s">
        <v>74</v>
      </c>
      <c r="N879" s="1" t="s">
        <v>74</v>
      </c>
      <c r="O879" s="1" t="s">
        <v>74</v>
      </c>
      <c r="P879" s="1" t="s">
        <v>74</v>
      </c>
      <c r="Q879" s="1" t="s">
        <v>74</v>
      </c>
      <c r="R879" s="1" t="s">
        <v>74</v>
      </c>
      <c r="S879" s="1" t="s">
        <v>74</v>
      </c>
      <c r="T879" s="1" t="s">
        <v>74</v>
      </c>
      <c r="U879" s="1" t="s">
        <v>74</v>
      </c>
      <c r="V879" s="1" t="s">
        <v>8740</v>
      </c>
      <c r="W879" s="1" t="s">
        <v>74</v>
      </c>
      <c r="X879" s="1" t="s">
        <v>74</v>
      </c>
      <c r="Y879" s="1" t="s">
        <v>74</v>
      </c>
      <c r="Z879" s="1" t="s">
        <v>74</v>
      </c>
      <c r="AA879" s="1" t="s">
        <v>8741</v>
      </c>
      <c r="AB879" s="1" t="s">
        <v>8742</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74</v>
      </c>
      <c r="AP879" s="1" t="s">
        <v>263</v>
      </c>
      <c r="AQ879" s="1" t="s">
        <v>74</v>
      </c>
      <c r="AR879" s="1" t="s">
        <v>74</v>
      </c>
      <c r="AS879" s="1" t="s">
        <v>74</v>
      </c>
      <c r="AT879" s="1" t="s">
        <v>745</v>
      </c>
      <c r="AU879" s="1">
        <v>2023.0</v>
      </c>
      <c r="AV879" s="1">
        <v>15.0</v>
      </c>
      <c r="AW879" s="1">
        <v>14.0</v>
      </c>
      <c r="AX879" s="1" t="s">
        <v>74</v>
      </c>
      <c r="AY879" s="1" t="s">
        <v>74</v>
      </c>
      <c r="AZ879" s="1" t="s">
        <v>74</v>
      </c>
      <c r="BA879" s="1" t="s">
        <v>74</v>
      </c>
      <c r="BB879" s="1" t="s">
        <v>74</v>
      </c>
      <c r="BC879" s="1" t="s">
        <v>74</v>
      </c>
      <c r="BD879" s="1">
        <v>3244.0</v>
      </c>
      <c r="BE879" s="1" t="s">
        <v>8743</v>
      </c>
      <c r="BF879" s="2" t="str">
        <f>HYPERLINK("http://dx.doi.org/10.3390/nu15143244","http://dx.doi.org/10.3390/nu15143244")</f>
        <v>http://dx.doi.org/10.3390/nu15143244</v>
      </c>
      <c r="BG879" s="1" t="s">
        <v>74</v>
      </c>
      <c r="BH879" s="1" t="s">
        <v>74</v>
      </c>
      <c r="BI879" s="1" t="s">
        <v>74</v>
      </c>
      <c r="BJ879" s="1" t="s">
        <v>74</v>
      </c>
      <c r="BK879" s="1" t="s">
        <v>74</v>
      </c>
      <c r="BL879" s="1" t="s">
        <v>74</v>
      </c>
      <c r="BM879" s="1" t="s">
        <v>74</v>
      </c>
      <c r="BN879" s="1">
        <v>3.751366E7</v>
      </c>
      <c r="BO879" s="1" t="s">
        <v>74</v>
      </c>
      <c r="BP879" s="1" t="s">
        <v>74</v>
      </c>
      <c r="BQ879" s="1" t="s">
        <v>74</v>
      </c>
      <c r="BR879" s="1" t="s">
        <v>74</v>
      </c>
      <c r="BS879" s="1" t="s">
        <v>8744</v>
      </c>
      <c r="BT879" s="1" t="str">
        <f>HYPERLINK("https%3A%2F%2Fwww.webofscience.com%2Fwos%2Fwoscc%2Ffull-record%2FWOS:001036608900001","View Full Record in Web of Science")</f>
        <v>View Full Record in Web of Science</v>
      </c>
    </row>
    <row r="880" ht="12.75" customHeight="1">
      <c r="A880" s="1" t="s">
        <v>72</v>
      </c>
      <c r="B880" s="1" t="s">
        <v>8745</v>
      </c>
      <c r="C880" s="1" t="s">
        <v>74</v>
      </c>
      <c r="D880" s="1" t="s">
        <v>74</v>
      </c>
      <c r="E880" s="1" t="s">
        <v>74</v>
      </c>
      <c r="F880" s="1" t="s">
        <v>8746</v>
      </c>
      <c r="G880" s="1" t="s">
        <v>74</v>
      </c>
      <c r="H880" s="1" t="s">
        <v>74</v>
      </c>
      <c r="I880" s="1" t="s">
        <v>8747</v>
      </c>
      <c r="J880" s="1" t="s">
        <v>4596</v>
      </c>
      <c r="K880" s="1" t="s">
        <v>74</v>
      </c>
      <c r="L880" s="1" t="s">
        <v>74</v>
      </c>
      <c r="M880" s="1" t="s">
        <v>74</v>
      </c>
      <c r="N880" s="1" t="s">
        <v>74</v>
      </c>
      <c r="O880" s="1" t="s">
        <v>74</v>
      </c>
      <c r="P880" s="1" t="s">
        <v>74</v>
      </c>
      <c r="Q880" s="1" t="s">
        <v>74</v>
      </c>
      <c r="R880" s="1" t="s">
        <v>74</v>
      </c>
      <c r="S880" s="1" t="s">
        <v>74</v>
      </c>
      <c r="T880" s="1" t="s">
        <v>74</v>
      </c>
      <c r="U880" s="1" t="s">
        <v>74</v>
      </c>
      <c r="V880" s="1" t="s">
        <v>74</v>
      </c>
      <c r="W880" s="1" t="s">
        <v>74</v>
      </c>
      <c r="X880" s="1" t="s">
        <v>74</v>
      </c>
      <c r="Y880" s="1" t="s">
        <v>74</v>
      </c>
      <c r="Z880" s="1" t="s">
        <v>74</v>
      </c>
      <c r="AA880" s="1" t="s">
        <v>8748</v>
      </c>
      <c r="AB880" s="1" t="s">
        <v>8749</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4600</v>
      </c>
      <c r="AP880" s="1" t="s">
        <v>4601</v>
      </c>
      <c r="AQ880" s="1" t="s">
        <v>74</v>
      </c>
      <c r="AR880" s="1" t="s">
        <v>74</v>
      </c>
      <c r="AS880" s="1" t="s">
        <v>74</v>
      </c>
      <c r="AT880" s="1" t="s">
        <v>106</v>
      </c>
      <c r="AU880" s="1">
        <v>2018.0</v>
      </c>
      <c r="AV880" s="1">
        <v>15.0</v>
      </c>
      <c r="AW880" s="1" t="s">
        <v>74</v>
      </c>
      <c r="AX880" s="1" t="s">
        <v>74</v>
      </c>
      <c r="AY880" s="1">
        <v>2.0</v>
      </c>
      <c r="AZ880" s="1" t="s">
        <v>74</v>
      </c>
      <c r="BA880" s="1" t="s">
        <v>74</v>
      </c>
      <c r="BB880" s="1" t="s">
        <v>8750</v>
      </c>
      <c r="BC880" s="1" t="s">
        <v>8751</v>
      </c>
      <c r="BD880" s="1" t="s">
        <v>74</v>
      </c>
      <c r="BE880" s="1" t="s">
        <v>8752</v>
      </c>
      <c r="BF880" s="2" t="str">
        <f>HYPERLINK("http://dx.doi.org/10.1123/jpah.2018-0553","http://dx.doi.org/10.1123/jpah.2018-0553")</f>
        <v>http://dx.doi.org/10.1123/jpah.2018-0553</v>
      </c>
      <c r="BG880" s="1" t="s">
        <v>74</v>
      </c>
      <c r="BH880" s="1" t="s">
        <v>74</v>
      </c>
      <c r="BI880" s="1" t="s">
        <v>74</v>
      </c>
      <c r="BJ880" s="1" t="s">
        <v>74</v>
      </c>
      <c r="BK880" s="1" t="s">
        <v>74</v>
      </c>
      <c r="BL880" s="1" t="s">
        <v>74</v>
      </c>
      <c r="BM880" s="1" t="s">
        <v>74</v>
      </c>
      <c r="BN880" s="1">
        <v>3.0475142E7</v>
      </c>
      <c r="BO880" s="1" t="s">
        <v>74</v>
      </c>
      <c r="BP880" s="1" t="s">
        <v>74</v>
      </c>
      <c r="BQ880" s="1" t="s">
        <v>74</v>
      </c>
      <c r="BR880" s="1" t="s">
        <v>74</v>
      </c>
      <c r="BS880" s="1" t="s">
        <v>8753</v>
      </c>
      <c r="BT880" s="1" t="str">
        <f>HYPERLINK("https%3A%2F%2Fwww.webofscience.com%2Fwos%2Fwoscc%2Ffull-record%2FWOS:000451242900011","View Full Record in Web of Science")</f>
        <v>View Full Record in Web of Science</v>
      </c>
    </row>
    <row r="881" ht="12.75" customHeight="1">
      <c r="A881" s="1" t="s">
        <v>72</v>
      </c>
      <c r="B881" s="1" t="s">
        <v>8754</v>
      </c>
      <c r="C881" s="1" t="s">
        <v>74</v>
      </c>
      <c r="D881" s="1" t="s">
        <v>74</v>
      </c>
      <c r="E881" s="1" t="s">
        <v>74</v>
      </c>
      <c r="F881" s="1" t="s">
        <v>8755</v>
      </c>
      <c r="G881" s="1" t="s">
        <v>74</v>
      </c>
      <c r="H881" s="1" t="s">
        <v>74</v>
      </c>
      <c r="I881" s="1" t="s">
        <v>8756</v>
      </c>
      <c r="J881" s="1" t="s">
        <v>8263</v>
      </c>
      <c r="K881" s="1" t="s">
        <v>74</v>
      </c>
      <c r="L881" s="1" t="s">
        <v>74</v>
      </c>
      <c r="M881" s="1" t="s">
        <v>74</v>
      </c>
      <c r="N881" s="1" t="s">
        <v>74</v>
      </c>
      <c r="O881" s="1" t="s">
        <v>74</v>
      </c>
      <c r="P881" s="1" t="s">
        <v>74</v>
      </c>
      <c r="Q881" s="1" t="s">
        <v>74</v>
      </c>
      <c r="R881" s="1" t="s">
        <v>74</v>
      </c>
      <c r="S881" s="1" t="s">
        <v>74</v>
      </c>
      <c r="T881" s="1" t="s">
        <v>74</v>
      </c>
      <c r="U881" s="1" t="s">
        <v>74</v>
      </c>
      <c r="V881" s="1" t="s">
        <v>8757</v>
      </c>
      <c r="W881" s="1" t="s">
        <v>74</v>
      </c>
      <c r="X881" s="1" t="s">
        <v>74</v>
      </c>
      <c r="Y881" s="1" t="s">
        <v>74</v>
      </c>
      <c r="Z881" s="1" t="s">
        <v>74</v>
      </c>
      <c r="AA881" s="1" t="s">
        <v>8758</v>
      </c>
      <c r="AB881" s="1" t="s">
        <v>8759</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8267</v>
      </c>
      <c r="AP881" s="1" t="s">
        <v>8268</v>
      </c>
      <c r="AQ881" s="1" t="s">
        <v>74</v>
      </c>
      <c r="AR881" s="1" t="s">
        <v>74</v>
      </c>
      <c r="AS881" s="1" t="s">
        <v>74</v>
      </c>
      <c r="AT881" s="1" t="s">
        <v>8760</v>
      </c>
      <c r="AU881" s="1">
        <v>2023.0</v>
      </c>
      <c r="AV881" s="1">
        <v>378.0</v>
      </c>
      <c r="AW881" s="1">
        <v>1870.0</v>
      </c>
      <c r="AX881" s="1" t="s">
        <v>74</v>
      </c>
      <c r="AY881" s="1" t="s">
        <v>74</v>
      </c>
      <c r="AZ881" s="1" t="s">
        <v>74</v>
      </c>
      <c r="BA881" s="1" t="s">
        <v>74</v>
      </c>
      <c r="BB881" s="1" t="s">
        <v>74</v>
      </c>
      <c r="BC881" s="1" t="s">
        <v>74</v>
      </c>
      <c r="BD881" s="1">
        <v>2.0210364E7</v>
      </c>
      <c r="BE881" s="1" t="s">
        <v>8761</v>
      </c>
      <c r="BF881" s="2" t="str">
        <f>HYPERLINK("http://dx.doi.org/10.1098/rstb.2021.0364","http://dx.doi.org/10.1098/rstb.2021.0364")</f>
        <v>http://dx.doi.org/10.1098/rstb.2021.0364</v>
      </c>
      <c r="BG881" s="1" t="s">
        <v>74</v>
      </c>
      <c r="BH881" s="1" t="s">
        <v>74</v>
      </c>
      <c r="BI881" s="1" t="s">
        <v>74</v>
      </c>
      <c r="BJ881" s="1" t="s">
        <v>74</v>
      </c>
      <c r="BK881" s="1" t="s">
        <v>74</v>
      </c>
      <c r="BL881" s="1" t="s">
        <v>74</v>
      </c>
      <c r="BM881" s="1" t="s">
        <v>74</v>
      </c>
      <c r="BN881" s="1">
        <v>3.6571119E7</v>
      </c>
      <c r="BO881" s="1" t="s">
        <v>74</v>
      </c>
      <c r="BP881" s="1" t="s">
        <v>74</v>
      </c>
      <c r="BQ881" s="1" t="s">
        <v>74</v>
      </c>
      <c r="BR881" s="1" t="s">
        <v>74</v>
      </c>
      <c r="BS881" s="1" t="s">
        <v>8762</v>
      </c>
      <c r="BT881" s="1" t="str">
        <f>HYPERLINK("https%3A%2F%2Fwww.webofscience.com%2Fwos%2Fwoscc%2Ffull-record%2FWOS:000927173500013","View Full Record in Web of Science")</f>
        <v>View Full Record in Web of Science</v>
      </c>
    </row>
    <row r="882" ht="12.75" customHeight="1">
      <c r="A882" s="1" t="s">
        <v>72</v>
      </c>
      <c r="B882" s="1" t="s">
        <v>8763</v>
      </c>
      <c r="C882" s="1" t="s">
        <v>74</v>
      </c>
      <c r="D882" s="1" t="s">
        <v>74</v>
      </c>
      <c r="E882" s="1" t="s">
        <v>74</v>
      </c>
      <c r="F882" s="1" t="s">
        <v>8764</v>
      </c>
      <c r="G882" s="1" t="s">
        <v>74</v>
      </c>
      <c r="H882" s="1" t="s">
        <v>74</v>
      </c>
      <c r="I882" s="1" t="s">
        <v>8765</v>
      </c>
      <c r="J882" s="1" t="s">
        <v>8766</v>
      </c>
      <c r="K882" s="1" t="s">
        <v>74</v>
      </c>
      <c r="L882" s="1" t="s">
        <v>74</v>
      </c>
      <c r="M882" s="1" t="s">
        <v>74</v>
      </c>
      <c r="N882" s="1" t="s">
        <v>74</v>
      </c>
      <c r="O882" s="1" t="s">
        <v>74</v>
      </c>
      <c r="P882" s="1" t="s">
        <v>74</v>
      </c>
      <c r="Q882" s="1" t="s">
        <v>74</v>
      </c>
      <c r="R882" s="1" t="s">
        <v>74</v>
      </c>
      <c r="S882" s="1" t="s">
        <v>74</v>
      </c>
      <c r="T882" s="1" t="s">
        <v>74</v>
      </c>
      <c r="U882" s="1" t="s">
        <v>74</v>
      </c>
      <c r="V882" s="1" t="s">
        <v>8767</v>
      </c>
      <c r="W882" s="1" t="s">
        <v>74</v>
      </c>
      <c r="X882" s="1" t="s">
        <v>74</v>
      </c>
      <c r="Y882" s="1" t="s">
        <v>74</v>
      </c>
      <c r="Z882" s="1" t="s">
        <v>74</v>
      </c>
      <c r="AA882" s="1" t="s">
        <v>8768</v>
      </c>
      <c r="AB882" s="1" t="s">
        <v>8769</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8770</v>
      </c>
      <c r="AP882" s="1" t="s">
        <v>8771</v>
      </c>
      <c r="AQ882" s="1" t="s">
        <v>74</v>
      </c>
      <c r="AR882" s="1" t="s">
        <v>74</v>
      </c>
      <c r="AS882" s="1" t="s">
        <v>74</v>
      </c>
      <c r="AT882" s="1" t="s">
        <v>8772</v>
      </c>
      <c r="AU882" s="1">
        <v>2014.0</v>
      </c>
      <c r="AV882" s="1">
        <v>59.0</v>
      </c>
      <c r="AW882" s="1">
        <v>24.0</v>
      </c>
      <c r="AX882" s="1" t="s">
        <v>74</v>
      </c>
      <c r="AY882" s="1" t="s">
        <v>74</v>
      </c>
      <c r="AZ882" s="1" t="s">
        <v>74</v>
      </c>
      <c r="BA882" s="1" t="s">
        <v>74</v>
      </c>
      <c r="BB882" s="1">
        <v>7573.0</v>
      </c>
      <c r="BC882" s="1">
        <v>7585.0</v>
      </c>
      <c r="BD882" s="1" t="s">
        <v>74</v>
      </c>
      <c r="BE882" s="1" t="s">
        <v>8773</v>
      </c>
      <c r="BF882" s="2" t="str">
        <f>HYPERLINK("http://dx.doi.org/10.1088/0031-9155/59/24/7573","http://dx.doi.org/10.1088/0031-9155/59/24/7573")</f>
        <v>http://dx.doi.org/10.1088/0031-9155/59/24/7573</v>
      </c>
      <c r="BG882" s="1" t="s">
        <v>74</v>
      </c>
      <c r="BH882" s="1" t="s">
        <v>74</v>
      </c>
      <c r="BI882" s="1" t="s">
        <v>74</v>
      </c>
      <c r="BJ882" s="1" t="s">
        <v>74</v>
      </c>
      <c r="BK882" s="1" t="s">
        <v>74</v>
      </c>
      <c r="BL882" s="1" t="s">
        <v>74</v>
      </c>
      <c r="BM882" s="1" t="s">
        <v>74</v>
      </c>
      <c r="BN882" s="1">
        <v>2.5415206E7</v>
      </c>
      <c r="BO882" s="1" t="s">
        <v>74</v>
      </c>
      <c r="BP882" s="1" t="s">
        <v>74</v>
      </c>
      <c r="BQ882" s="1" t="s">
        <v>74</v>
      </c>
      <c r="BR882" s="1" t="s">
        <v>74</v>
      </c>
      <c r="BS882" s="1" t="s">
        <v>8774</v>
      </c>
      <c r="BT882" s="1" t="str">
        <f>HYPERLINK("https%3A%2F%2Fwww.webofscience.com%2Fwos%2Fwoscc%2Ffull-record%2FWOS:000209559600002","View Full Record in Web of Science")</f>
        <v>View Full Record in Web of Science</v>
      </c>
    </row>
    <row r="883" ht="12.75" customHeight="1">
      <c r="A883" s="1" t="s">
        <v>72</v>
      </c>
      <c r="B883" s="1" t="s">
        <v>8775</v>
      </c>
      <c r="C883" s="1" t="s">
        <v>74</v>
      </c>
      <c r="D883" s="1" t="s">
        <v>74</v>
      </c>
      <c r="E883" s="1" t="s">
        <v>74</v>
      </c>
      <c r="F883" s="1" t="s">
        <v>8776</v>
      </c>
      <c r="G883" s="1" t="s">
        <v>74</v>
      </c>
      <c r="H883" s="1" t="s">
        <v>74</v>
      </c>
      <c r="I883" s="1" t="s">
        <v>8777</v>
      </c>
      <c r="J883" s="1" t="s">
        <v>8778</v>
      </c>
      <c r="K883" s="1" t="s">
        <v>74</v>
      </c>
      <c r="L883" s="1" t="s">
        <v>74</v>
      </c>
      <c r="M883" s="1" t="s">
        <v>74</v>
      </c>
      <c r="N883" s="1" t="s">
        <v>74</v>
      </c>
      <c r="O883" s="1" t="s">
        <v>74</v>
      </c>
      <c r="P883" s="1" t="s">
        <v>74</v>
      </c>
      <c r="Q883" s="1" t="s">
        <v>74</v>
      </c>
      <c r="R883" s="1" t="s">
        <v>74</v>
      </c>
      <c r="S883" s="1" t="s">
        <v>74</v>
      </c>
      <c r="T883" s="1" t="s">
        <v>74</v>
      </c>
      <c r="U883" s="1" t="s">
        <v>74</v>
      </c>
      <c r="V883" s="1" t="s">
        <v>8779</v>
      </c>
      <c r="W883" s="1" t="s">
        <v>74</v>
      </c>
      <c r="X883" s="1" t="s">
        <v>74</v>
      </c>
      <c r="Y883" s="1" t="s">
        <v>74</v>
      </c>
      <c r="Z883" s="1" t="s">
        <v>74</v>
      </c>
      <c r="AA883" s="1" t="s">
        <v>8780</v>
      </c>
      <c r="AB883" s="1" t="s">
        <v>8781</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8782</v>
      </c>
      <c r="AP883" s="1" t="s">
        <v>8783</v>
      </c>
      <c r="AQ883" s="1" t="s">
        <v>74</v>
      </c>
      <c r="AR883" s="1" t="s">
        <v>74</v>
      </c>
      <c r="AS883" s="1" t="s">
        <v>74</v>
      </c>
      <c r="AT883" s="1" t="s">
        <v>106</v>
      </c>
      <c r="AU883" s="1">
        <v>2024.0</v>
      </c>
      <c r="AV883" s="1">
        <v>75.0</v>
      </c>
      <c r="AW883" s="1" t="s">
        <v>74</v>
      </c>
      <c r="AX883" s="1" t="s">
        <v>74</v>
      </c>
      <c r="AY883" s="1" t="s">
        <v>74</v>
      </c>
      <c r="AZ883" s="1" t="s">
        <v>74</v>
      </c>
      <c r="BA883" s="1" t="s">
        <v>74</v>
      </c>
      <c r="BB883" s="1" t="s">
        <v>74</v>
      </c>
      <c r="BC883" s="1" t="s">
        <v>74</v>
      </c>
      <c r="BD883" s="1">
        <v>102721.0</v>
      </c>
      <c r="BE883" s="1" t="s">
        <v>8784</v>
      </c>
      <c r="BF883" s="2" t="str">
        <f>HYPERLINK("http://dx.doi.org/10.1016/j.psychsport.2024.102721","http://dx.doi.org/10.1016/j.psychsport.2024.102721")</f>
        <v>http://dx.doi.org/10.1016/j.psychsport.2024.102721</v>
      </c>
      <c r="BG883" s="1" t="s">
        <v>74</v>
      </c>
      <c r="BH883" s="1" t="s">
        <v>677</v>
      </c>
      <c r="BI883" s="1" t="s">
        <v>74</v>
      </c>
      <c r="BJ883" s="1" t="s">
        <v>74</v>
      </c>
      <c r="BK883" s="1" t="s">
        <v>74</v>
      </c>
      <c r="BL883" s="1" t="s">
        <v>74</v>
      </c>
      <c r="BM883" s="1" t="s">
        <v>74</v>
      </c>
      <c r="BN883" s="1">
        <v>3.9182748E7</v>
      </c>
      <c r="BO883" s="1" t="s">
        <v>74</v>
      </c>
      <c r="BP883" s="1" t="s">
        <v>74</v>
      </c>
      <c r="BQ883" s="1" t="s">
        <v>74</v>
      </c>
      <c r="BR883" s="1" t="s">
        <v>74</v>
      </c>
      <c r="BS883" s="1" t="s">
        <v>8785</v>
      </c>
      <c r="BT883" s="1" t="str">
        <f>HYPERLINK("https%3A%2F%2Fwww.webofscience.com%2Fwos%2Fwoscc%2Ffull-record%2FWOS:001309767800001","View Full Record in Web of Science")</f>
        <v>View Full Record in Web of Science</v>
      </c>
    </row>
    <row r="884" ht="12.75" customHeight="1">
      <c r="A884" s="1" t="s">
        <v>72</v>
      </c>
      <c r="B884" s="1" t="s">
        <v>8786</v>
      </c>
      <c r="C884" s="1" t="s">
        <v>74</v>
      </c>
      <c r="D884" s="1" t="s">
        <v>74</v>
      </c>
      <c r="E884" s="1" t="s">
        <v>74</v>
      </c>
      <c r="F884" s="1" t="s">
        <v>8787</v>
      </c>
      <c r="G884" s="1" t="s">
        <v>74</v>
      </c>
      <c r="H884" s="1" t="s">
        <v>74</v>
      </c>
      <c r="I884" s="1" t="s">
        <v>8788</v>
      </c>
      <c r="J884" s="1" t="s">
        <v>6592</v>
      </c>
      <c r="K884" s="1" t="s">
        <v>74</v>
      </c>
      <c r="L884" s="1" t="s">
        <v>74</v>
      </c>
      <c r="M884" s="1" t="s">
        <v>74</v>
      </c>
      <c r="N884" s="1" t="s">
        <v>74</v>
      </c>
      <c r="O884" s="1" t="s">
        <v>74</v>
      </c>
      <c r="P884" s="1" t="s">
        <v>74</v>
      </c>
      <c r="Q884" s="1" t="s">
        <v>74</v>
      </c>
      <c r="R884" s="1" t="s">
        <v>74</v>
      </c>
      <c r="S884" s="1" t="s">
        <v>74</v>
      </c>
      <c r="T884" s="1" t="s">
        <v>74</v>
      </c>
      <c r="U884" s="1" t="s">
        <v>74</v>
      </c>
      <c r="V884" s="1" t="s">
        <v>8789</v>
      </c>
      <c r="W884" s="1" t="s">
        <v>74</v>
      </c>
      <c r="X884" s="1" t="s">
        <v>74</v>
      </c>
      <c r="Y884" s="1" t="s">
        <v>74</v>
      </c>
      <c r="Z884" s="1" t="s">
        <v>74</v>
      </c>
      <c r="AA884" s="1" t="s">
        <v>8790</v>
      </c>
      <c r="AB884" s="1" t="s">
        <v>74</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6595</v>
      </c>
      <c r="AP884" s="1" t="s">
        <v>6596</v>
      </c>
      <c r="AQ884" s="1" t="s">
        <v>74</v>
      </c>
      <c r="AR884" s="1" t="s">
        <v>74</v>
      </c>
      <c r="AS884" s="1" t="s">
        <v>74</v>
      </c>
      <c r="AT884" s="1" t="s">
        <v>94</v>
      </c>
      <c r="AU884" s="1">
        <v>2024.0</v>
      </c>
      <c r="AV884" s="1">
        <v>54.0</v>
      </c>
      <c r="AW884" s="1">
        <v>6.0</v>
      </c>
      <c r="AX884" s="1" t="s">
        <v>74</v>
      </c>
      <c r="AY884" s="1" t="s">
        <v>74</v>
      </c>
      <c r="AZ884" s="1" t="s">
        <v>74</v>
      </c>
      <c r="BA884" s="1" t="s">
        <v>74</v>
      </c>
      <c r="BB884" s="1" t="s">
        <v>74</v>
      </c>
      <c r="BC884" s="1" t="s">
        <v>74</v>
      </c>
      <c r="BD884" s="1">
        <v>227.0</v>
      </c>
      <c r="BE884" s="1" t="s">
        <v>8791</v>
      </c>
      <c r="BF884" s="2" t="str">
        <f>HYPERLINK("http://dx.doi.org/10.1007/s13538-024-01606-8","http://dx.doi.org/10.1007/s13538-024-01606-8")</f>
        <v>http://dx.doi.org/10.1007/s13538-024-01606-8</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8792</v>
      </c>
      <c r="BT884" s="1" t="str">
        <f>HYPERLINK("https%3A%2F%2Fwww.webofscience.com%2Fwos%2Fwoscc%2Ffull-record%2FWOS:001314720000001","View Full Record in Web of Science")</f>
        <v>View Full Record in Web of Science</v>
      </c>
    </row>
    <row r="885" ht="12.75" customHeight="1">
      <c r="A885" s="1" t="s">
        <v>72</v>
      </c>
      <c r="B885" s="1" t="s">
        <v>8793</v>
      </c>
      <c r="C885" s="1" t="s">
        <v>74</v>
      </c>
      <c r="D885" s="1" t="s">
        <v>74</v>
      </c>
      <c r="E885" s="1" t="s">
        <v>74</v>
      </c>
      <c r="F885" s="1" t="s">
        <v>8794</v>
      </c>
      <c r="G885" s="1" t="s">
        <v>74</v>
      </c>
      <c r="H885" s="1" t="s">
        <v>74</v>
      </c>
      <c r="I885" s="1" t="s">
        <v>8795</v>
      </c>
      <c r="J885" s="1" t="s">
        <v>8796</v>
      </c>
      <c r="K885" s="1" t="s">
        <v>74</v>
      </c>
      <c r="L885" s="1" t="s">
        <v>74</v>
      </c>
      <c r="M885" s="1" t="s">
        <v>74</v>
      </c>
      <c r="N885" s="1" t="s">
        <v>74</v>
      </c>
      <c r="O885" s="1" t="s">
        <v>74</v>
      </c>
      <c r="P885" s="1" t="s">
        <v>74</v>
      </c>
      <c r="Q885" s="1" t="s">
        <v>74</v>
      </c>
      <c r="R885" s="1" t="s">
        <v>74</v>
      </c>
      <c r="S885" s="1" t="s">
        <v>74</v>
      </c>
      <c r="T885" s="1" t="s">
        <v>74</v>
      </c>
      <c r="U885" s="1" t="s">
        <v>74</v>
      </c>
      <c r="V885" s="1" t="s">
        <v>8797</v>
      </c>
      <c r="W885" s="1" t="s">
        <v>74</v>
      </c>
      <c r="X885" s="1" t="s">
        <v>74</v>
      </c>
      <c r="Y885" s="1" t="s">
        <v>74</v>
      </c>
      <c r="Z885" s="1" t="s">
        <v>74</v>
      </c>
      <c r="AA885" s="1" t="s">
        <v>8798</v>
      </c>
      <c r="AB885" s="1" t="s">
        <v>8799</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8800</v>
      </c>
      <c r="AP885" s="1" t="s">
        <v>8801</v>
      </c>
      <c r="AQ885" s="1" t="s">
        <v>74</v>
      </c>
      <c r="AR885" s="1" t="s">
        <v>74</v>
      </c>
      <c r="AS885" s="1" t="s">
        <v>74</v>
      </c>
      <c r="AT885" s="1" t="s">
        <v>8802</v>
      </c>
      <c r="AU885" s="1">
        <v>2025.0</v>
      </c>
      <c r="AV885" s="1">
        <v>20.0</v>
      </c>
      <c r="AW885" s="1">
        <v>1.0</v>
      </c>
      <c r="AX885" s="1" t="s">
        <v>74</v>
      </c>
      <c r="AY885" s="1" t="s">
        <v>74</v>
      </c>
      <c r="AZ885" s="1" t="s">
        <v>74</v>
      </c>
      <c r="BA885" s="1" t="s">
        <v>74</v>
      </c>
      <c r="BB885" s="1" t="s">
        <v>74</v>
      </c>
      <c r="BC885" s="1" t="s">
        <v>74</v>
      </c>
      <c r="BD885" s="1" t="s">
        <v>8803</v>
      </c>
      <c r="BE885" s="1" t="s">
        <v>8804</v>
      </c>
      <c r="BF885" s="2" t="str">
        <f>HYPERLINK("http://dx.doi.org/10.1093/scan/nsae066","http://dx.doi.org/10.1093/scan/nsae066")</f>
        <v>http://dx.doi.org/10.1093/scan/nsae066</v>
      </c>
      <c r="BG885" s="1" t="s">
        <v>74</v>
      </c>
      <c r="BH885" s="1" t="s">
        <v>74</v>
      </c>
      <c r="BI885" s="1" t="s">
        <v>74</v>
      </c>
      <c r="BJ885" s="1" t="s">
        <v>74</v>
      </c>
      <c r="BK885" s="1" t="s">
        <v>74</v>
      </c>
      <c r="BL885" s="1" t="s">
        <v>74</v>
      </c>
      <c r="BM885" s="1" t="s">
        <v>74</v>
      </c>
      <c r="BN885" s="1">
        <v>3.9725669E7</v>
      </c>
      <c r="BO885" s="1" t="s">
        <v>74</v>
      </c>
      <c r="BP885" s="1" t="s">
        <v>74</v>
      </c>
      <c r="BQ885" s="1" t="s">
        <v>74</v>
      </c>
      <c r="BR885" s="1" t="s">
        <v>74</v>
      </c>
      <c r="BS885" s="1" t="s">
        <v>8805</v>
      </c>
      <c r="BT885" s="1" t="str">
        <f>HYPERLINK("https%3A%2F%2Fwww.webofscience.com%2Fwos%2Fwoscc%2Ffull-record%2FWOS:001392030500001","View Full Record in Web of Science")</f>
        <v>View Full Record in Web of Science</v>
      </c>
    </row>
    <row r="886" ht="12.75" customHeight="1">
      <c r="A886" s="1" t="s">
        <v>72</v>
      </c>
      <c r="B886" s="1" t="s">
        <v>8806</v>
      </c>
      <c r="C886" s="1" t="s">
        <v>74</v>
      </c>
      <c r="D886" s="1" t="s">
        <v>74</v>
      </c>
      <c r="E886" s="1" t="s">
        <v>74</v>
      </c>
      <c r="F886" s="1" t="s">
        <v>8807</v>
      </c>
      <c r="G886" s="1" t="s">
        <v>74</v>
      </c>
      <c r="H886" s="1" t="s">
        <v>74</v>
      </c>
      <c r="I886" s="1" t="s">
        <v>8808</v>
      </c>
      <c r="J886" s="1" t="s">
        <v>8809</v>
      </c>
      <c r="K886" s="1" t="s">
        <v>74</v>
      </c>
      <c r="L886" s="1" t="s">
        <v>74</v>
      </c>
      <c r="M886" s="1" t="s">
        <v>74</v>
      </c>
      <c r="N886" s="1" t="s">
        <v>74</v>
      </c>
      <c r="O886" s="1" t="s">
        <v>74</v>
      </c>
      <c r="P886" s="1" t="s">
        <v>74</v>
      </c>
      <c r="Q886" s="1" t="s">
        <v>74</v>
      </c>
      <c r="R886" s="1" t="s">
        <v>74</v>
      </c>
      <c r="S886" s="1" t="s">
        <v>74</v>
      </c>
      <c r="T886" s="1" t="s">
        <v>74</v>
      </c>
      <c r="U886" s="1" t="s">
        <v>74</v>
      </c>
      <c r="V886" s="1" t="s">
        <v>8810</v>
      </c>
      <c r="W886" s="1" t="s">
        <v>74</v>
      </c>
      <c r="X886" s="1" t="s">
        <v>74</v>
      </c>
      <c r="Y886" s="1" t="s">
        <v>74</v>
      </c>
      <c r="Z886" s="1" t="s">
        <v>74</v>
      </c>
      <c r="AA886" s="1" t="s">
        <v>8811</v>
      </c>
      <c r="AB886" s="1" t="s">
        <v>8812</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8813</v>
      </c>
      <c r="AP886" s="1" t="s">
        <v>8814</v>
      </c>
      <c r="AQ886" s="1" t="s">
        <v>74</v>
      </c>
      <c r="AR886" s="1" t="s">
        <v>74</v>
      </c>
      <c r="AS886" s="1" t="s">
        <v>74</v>
      </c>
      <c r="AT886" s="1" t="s">
        <v>8815</v>
      </c>
      <c r="AU886" s="1">
        <v>2022.0</v>
      </c>
      <c r="AV886" s="1">
        <v>603.0</v>
      </c>
      <c r="AW886" s="1">
        <v>7901.0</v>
      </c>
      <c r="AX886" s="1" t="s">
        <v>74</v>
      </c>
      <c r="AY886" s="1" t="s">
        <v>74</v>
      </c>
      <c r="AZ886" s="1" t="s">
        <v>74</v>
      </c>
      <c r="BA886" s="1" t="s">
        <v>74</v>
      </c>
      <c r="BB886" s="1">
        <v>455.0</v>
      </c>
      <c r="BC886" s="1" t="s">
        <v>966</v>
      </c>
      <c r="BD886" s="1" t="s">
        <v>74</v>
      </c>
      <c r="BE886" s="1" t="s">
        <v>8816</v>
      </c>
      <c r="BF886" s="2" t="str">
        <f>HYPERLINK("http://dx.doi.org/10.1038/s41586-022-04506-6","http://dx.doi.org/10.1038/s41586-022-04506-6")</f>
        <v>http://dx.doi.org/10.1038/s41586-022-04506-6</v>
      </c>
      <c r="BG886" s="1" t="s">
        <v>74</v>
      </c>
      <c r="BH886" s="1" t="s">
        <v>1211</v>
      </c>
      <c r="BI886" s="1" t="s">
        <v>74</v>
      </c>
      <c r="BJ886" s="1" t="s">
        <v>74</v>
      </c>
      <c r="BK886" s="1" t="s">
        <v>74</v>
      </c>
      <c r="BL886" s="1" t="s">
        <v>74</v>
      </c>
      <c r="BM886" s="1" t="s">
        <v>74</v>
      </c>
      <c r="BN886" s="1">
        <v>3.5264797E7</v>
      </c>
      <c r="BO886" s="1" t="s">
        <v>74</v>
      </c>
      <c r="BP886" s="1" t="s">
        <v>74</v>
      </c>
      <c r="BQ886" s="1" t="s">
        <v>74</v>
      </c>
      <c r="BR886" s="1" t="s">
        <v>74</v>
      </c>
      <c r="BS886" s="1" t="s">
        <v>8817</v>
      </c>
      <c r="BT886" s="1" t="str">
        <f>HYPERLINK("https%3A%2F%2Fwww.webofscience.com%2Fwos%2Fwoscc%2Ffull-record%2FWOS:000766431300001","View Full Record in Web of Science")</f>
        <v>View Full Record in Web of Science</v>
      </c>
    </row>
    <row r="887" ht="12.75" customHeight="1">
      <c r="A887" s="1" t="s">
        <v>72</v>
      </c>
      <c r="B887" s="1" t="s">
        <v>8818</v>
      </c>
      <c r="C887" s="1" t="s">
        <v>74</v>
      </c>
      <c r="D887" s="1" t="s">
        <v>74</v>
      </c>
      <c r="E887" s="1" t="s">
        <v>74</v>
      </c>
      <c r="F887" s="1" t="s">
        <v>8819</v>
      </c>
      <c r="G887" s="1" t="s">
        <v>74</v>
      </c>
      <c r="H887" s="1" t="s">
        <v>74</v>
      </c>
      <c r="I887" s="1" t="s">
        <v>8820</v>
      </c>
      <c r="J887" s="1" t="s">
        <v>7468</v>
      </c>
      <c r="K887" s="1" t="s">
        <v>74</v>
      </c>
      <c r="L887" s="1" t="s">
        <v>74</v>
      </c>
      <c r="M887" s="1" t="s">
        <v>74</v>
      </c>
      <c r="N887" s="1" t="s">
        <v>74</v>
      </c>
      <c r="O887" s="1" t="s">
        <v>74</v>
      </c>
      <c r="P887" s="1" t="s">
        <v>74</v>
      </c>
      <c r="Q887" s="1" t="s">
        <v>74</v>
      </c>
      <c r="R887" s="1" t="s">
        <v>74</v>
      </c>
      <c r="S887" s="1" t="s">
        <v>74</v>
      </c>
      <c r="T887" s="1" t="s">
        <v>74</v>
      </c>
      <c r="U887" s="1" t="s">
        <v>74</v>
      </c>
      <c r="V887" s="1" t="s">
        <v>8821</v>
      </c>
      <c r="W887" s="1" t="s">
        <v>74</v>
      </c>
      <c r="X887" s="1" t="s">
        <v>74</v>
      </c>
      <c r="Y887" s="1" t="s">
        <v>74</v>
      </c>
      <c r="Z887" s="1" t="s">
        <v>74</v>
      </c>
      <c r="AA887" s="1" t="s">
        <v>8822</v>
      </c>
      <c r="AB887" s="1" t="s">
        <v>8823</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74</v>
      </c>
      <c r="AP887" s="1" t="s">
        <v>7472</v>
      </c>
      <c r="AQ887" s="1" t="s">
        <v>74</v>
      </c>
      <c r="AR887" s="1" t="s">
        <v>74</v>
      </c>
      <c r="AS887" s="1" t="s">
        <v>74</v>
      </c>
      <c r="AT887" s="1" t="s">
        <v>8824</v>
      </c>
      <c r="AU887" s="1">
        <v>2021.0</v>
      </c>
      <c r="AV887" s="1">
        <v>21.0</v>
      </c>
      <c r="AW887" s="1">
        <v>1.0</v>
      </c>
      <c r="AX887" s="1" t="s">
        <v>74</v>
      </c>
      <c r="AY887" s="1" t="s">
        <v>74</v>
      </c>
      <c r="AZ887" s="1" t="s">
        <v>74</v>
      </c>
      <c r="BA887" s="1" t="s">
        <v>74</v>
      </c>
      <c r="BB887" s="1" t="s">
        <v>74</v>
      </c>
      <c r="BC887" s="1" t="s">
        <v>74</v>
      </c>
      <c r="BD887" s="1">
        <v>1190.0</v>
      </c>
      <c r="BE887" s="1" t="s">
        <v>8825</v>
      </c>
      <c r="BF887" s="2" t="str">
        <f>HYPERLINK("http://dx.doi.org/10.1186/s12889-021-11221-w","http://dx.doi.org/10.1186/s12889-021-11221-w")</f>
        <v>http://dx.doi.org/10.1186/s12889-021-11221-w</v>
      </c>
      <c r="BG887" s="1" t="s">
        <v>74</v>
      </c>
      <c r="BH887" s="1" t="s">
        <v>74</v>
      </c>
      <c r="BI887" s="1" t="s">
        <v>74</v>
      </c>
      <c r="BJ887" s="1" t="s">
        <v>74</v>
      </c>
      <c r="BK887" s="1" t="s">
        <v>74</v>
      </c>
      <c r="BL887" s="1" t="s">
        <v>74</v>
      </c>
      <c r="BM887" s="1" t="s">
        <v>74</v>
      </c>
      <c r="BN887" s="1">
        <v>3.4158014E7</v>
      </c>
      <c r="BO887" s="1" t="s">
        <v>74</v>
      </c>
      <c r="BP887" s="1" t="s">
        <v>74</v>
      </c>
      <c r="BQ887" s="1" t="s">
        <v>74</v>
      </c>
      <c r="BR887" s="1" t="s">
        <v>74</v>
      </c>
      <c r="BS887" s="1" t="s">
        <v>8826</v>
      </c>
      <c r="BT887" s="1" t="str">
        <f>HYPERLINK("https%3A%2F%2Fwww.webofscience.com%2Fwos%2Fwoscc%2Ffull-record%2FWOS:000665779400007","View Full Record in Web of Science")</f>
        <v>View Full Record in Web of Science</v>
      </c>
    </row>
    <row r="888" ht="12.75" customHeight="1">
      <c r="A888" s="1" t="s">
        <v>72</v>
      </c>
      <c r="B888" s="1" t="s">
        <v>8827</v>
      </c>
      <c r="C888" s="1" t="s">
        <v>74</v>
      </c>
      <c r="D888" s="1" t="s">
        <v>74</v>
      </c>
      <c r="E888" s="1" t="s">
        <v>74</v>
      </c>
      <c r="F888" s="1" t="s">
        <v>8828</v>
      </c>
      <c r="G888" s="1" t="s">
        <v>74</v>
      </c>
      <c r="H888" s="1" t="s">
        <v>74</v>
      </c>
      <c r="I888" s="1" t="s">
        <v>8829</v>
      </c>
      <c r="J888" s="1" t="s">
        <v>2874</v>
      </c>
      <c r="K888" s="1" t="s">
        <v>74</v>
      </c>
      <c r="L888" s="1" t="s">
        <v>74</v>
      </c>
      <c r="M888" s="1" t="s">
        <v>74</v>
      </c>
      <c r="N888" s="1" t="s">
        <v>74</v>
      </c>
      <c r="O888" s="1" t="s">
        <v>74</v>
      </c>
      <c r="P888" s="1" t="s">
        <v>74</v>
      </c>
      <c r="Q888" s="1" t="s">
        <v>74</v>
      </c>
      <c r="R888" s="1" t="s">
        <v>74</v>
      </c>
      <c r="S888" s="1" t="s">
        <v>74</v>
      </c>
      <c r="T888" s="1" t="s">
        <v>74</v>
      </c>
      <c r="U888" s="1" t="s">
        <v>74</v>
      </c>
      <c r="V888" s="1" t="s">
        <v>8830</v>
      </c>
      <c r="W888" s="1" t="s">
        <v>74</v>
      </c>
      <c r="X888" s="1" t="s">
        <v>74</v>
      </c>
      <c r="Y888" s="1" t="s">
        <v>74</v>
      </c>
      <c r="Z888" s="1" t="s">
        <v>74</v>
      </c>
      <c r="AA888" s="1" t="s">
        <v>8831</v>
      </c>
      <c r="AB888" s="1" t="s">
        <v>8832</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2878</v>
      </c>
      <c r="AP888" s="1" t="s">
        <v>74</v>
      </c>
      <c r="AQ888" s="1" t="s">
        <v>74</v>
      </c>
      <c r="AR888" s="1" t="s">
        <v>74</v>
      </c>
      <c r="AS888" s="1" t="s">
        <v>74</v>
      </c>
      <c r="AT888" s="1" t="s">
        <v>745</v>
      </c>
      <c r="AU888" s="1">
        <v>2023.0</v>
      </c>
      <c r="AV888" s="1">
        <v>18.0</v>
      </c>
      <c r="AW888" s="1" t="s">
        <v>74</v>
      </c>
      <c r="AX888" s="1" t="s">
        <v>74</v>
      </c>
      <c r="AY888" s="1" t="s">
        <v>74</v>
      </c>
      <c r="AZ888" s="1" t="s">
        <v>74</v>
      </c>
      <c r="BA888" s="1" t="s">
        <v>74</v>
      </c>
      <c r="BB888" s="1" t="s">
        <v>74</v>
      </c>
      <c r="BC888" s="1" t="s">
        <v>74</v>
      </c>
      <c r="BD888" s="1" t="s">
        <v>8833</v>
      </c>
      <c r="BE888" s="1" t="s">
        <v>8834</v>
      </c>
      <c r="BF888" s="2" t="str">
        <f>HYPERLINK("http://dx.doi.org/10.1016/j.cscm.2022.e01782","http://dx.doi.org/10.1016/j.cscm.2022.e01782")</f>
        <v>http://dx.doi.org/10.1016/j.cscm.2022.e01782</v>
      </c>
      <c r="BG888" s="1" t="s">
        <v>74</v>
      </c>
      <c r="BH888" s="1" t="s">
        <v>8361</v>
      </c>
      <c r="BI888" s="1" t="s">
        <v>74</v>
      </c>
      <c r="BJ888" s="1" t="s">
        <v>74</v>
      </c>
      <c r="BK888" s="1" t="s">
        <v>74</v>
      </c>
      <c r="BL888" s="1" t="s">
        <v>74</v>
      </c>
      <c r="BM888" s="1" t="s">
        <v>74</v>
      </c>
      <c r="BN888" s="1" t="s">
        <v>74</v>
      </c>
      <c r="BO888" s="1" t="s">
        <v>74</v>
      </c>
      <c r="BP888" s="1" t="s">
        <v>74</v>
      </c>
      <c r="BQ888" s="1" t="s">
        <v>74</v>
      </c>
      <c r="BR888" s="1" t="s">
        <v>74</v>
      </c>
      <c r="BS888" s="1" t="s">
        <v>8835</v>
      </c>
      <c r="BT888" s="1" t="str">
        <f>HYPERLINK("https%3A%2F%2Fwww.webofscience.com%2Fwos%2Fwoscc%2Ffull-record%2FWOS:000952121700001","View Full Record in Web of Science")</f>
        <v>View Full Record in Web of Science</v>
      </c>
    </row>
    <row r="889" ht="12.75" customHeight="1">
      <c r="A889" s="1" t="s">
        <v>72</v>
      </c>
      <c r="B889" s="1" t="s">
        <v>8836</v>
      </c>
      <c r="C889" s="1" t="s">
        <v>74</v>
      </c>
      <c r="D889" s="1" t="s">
        <v>74</v>
      </c>
      <c r="E889" s="1" t="s">
        <v>74</v>
      </c>
      <c r="F889" s="1" t="s">
        <v>8837</v>
      </c>
      <c r="G889" s="1" t="s">
        <v>74</v>
      </c>
      <c r="H889" s="1" t="s">
        <v>74</v>
      </c>
      <c r="I889" s="1" t="s">
        <v>8838</v>
      </c>
      <c r="J889" s="1" t="s">
        <v>8839</v>
      </c>
      <c r="K889" s="1" t="s">
        <v>74</v>
      </c>
      <c r="L889" s="1" t="s">
        <v>74</v>
      </c>
      <c r="M889" s="1" t="s">
        <v>74</v>
      </c>
      <c r="N889" s="1" t="s">
        <v>74</v>
      </c>
      <c r="O889" s="1" t="s">
        <v>74</v>
      </c>
      <c r="P889" s="1" t="s">
        <v>74</v>
      </c>
      <c r="Q889" s="1" t="s">
        <v>74</v>
      </c>
      <c r="R889" s="1" t="s">
        <v>74</v>
      </c>
      <c r="S889" s="1" t="s">
        <v>74</v>
      </c>
      <c r="T889" s="1" t="s">
        <v>74</v>
      </c>
      <c r="U889" s="1" t="s">
        <v>74</v>
      </c>
      <c r="V889" s="1" t="s">
        <v>8840</v>
      </c>
      <c r="W889" s="1" t="s">
        <v>74</v>
      </c>
      <c r="X889" s="1" t="s">
        <v>74</v>
      </c>
      <c r="Y889" s="1" t="s">
        <v>74</v>
      </c>
      <c r="Z889" s="1" t="s">
        <v>74</v>
      </c>
      <c r="AA889" s="1" t="s">
        <v>8841</v>
      </c>
      <c r="AB889" s="1" t="s">
        <v>8842</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8843</v>
      </c>
      <c r="AP889" s="1" t="s">
        <v>8844</v>
      </c>
      <c r="AQ889" s="1" t="s">
        <v>74</v>
      </c>
      <c r="AR889" s="1" t="s">
        <v>74</v>
      </c>
      <c r="AS889" s="1" t="s">
        <v>74</v>
      </c>
      <c r="AT889" s="1" t="s">
        <v>106</v>
      </c>
      <c r="AU889" s="1">
        <v>2019.0</v>
      </c>
      <c r="AV889" s="1">
        <v>12.0</v>
      </c>
      <c r="AW889" s="1">
        <v>11.0</v>
      </c>
      <c r="AX889" s="1" t="s">
        <v>74</v>
      </c>
      <c r="AY889" s="1" t="s">
        <v>74</v>
      </c>
      <c r="AZ889" s="1" t="s">
        <v>74</v>
      </c>
      <c r="BA889" s="1" t="s">
        <v>74</v>
      </c>
      <c r="BB889" s="1">
        <v>2655.0</v>
      </c>
      <c r="BC889" s="1">
        <v>2694.0</v>
      </c>
      <c r="BD889" s="1" t="s">
        <v>74</v>
      </c>
      <c r="BE889" s="1" t="s">
        <v>8845</v>
      </c>
      <c r="BF889" s="2" t="str">
        <f>HYPERLINK("http://dx.doi.org/10.1007/s12274-019-2467-8","http://dx.doi.org/10.1007/s12274-019-2467-8")</f>
        <v>http://dx.doi.org/10.1007/s12274-019-2467-8</v>
      </c>
      <c r="BG889" s="1" t="s">
        <v>74</v>
      </c>
      <c r="BH889" s="1" t="s">
        <v>74</v>
      </c>
      <c r="BI889" s="1" t="s">
        <v>74</v>
      </c>
      <c r="BJ889" s="1" t="s">
        <v>74</v>
      </c>
      <c r="BK889" s="1" t="s">
        <v>74</v>
      </c>
      <c r="BL889" s="1" t="s">
        <v>74</v>
      </c>
      <c r="BM889" s="1" t="s">
        <v>74</v>
      </c>
      <c r="BN889" s="1" t="s">
        <v>74</v>
      </c>
      <c r="BO889" s="1" t="s">
        <v>74</v>
      </c>
      <c r="BP889" s="1" t="s">
        <v>74</v>
      </c>
      <c r="BQ889" s="1" t="s">
        <v>74</v>
      </c>
      <c r="BR889" s="1" t="s">
        <v>74</v>
      </c>
      <c r="BS889" s="1" t="s">
        <v>8846</v>
      </c>
      <c r="BT889" s="1" t="str">
        <f>HYPERLINK("https%3A%2F%2Fwww.webofscience.com%2Fwos%2Fwoscc%2Ffull-record%2FWOS:000494681100001","View Full Record in Web of Science")</f>
        <v>View Full Record in Web of Science</v>
      </c>
    </row>
    <row r="890" ht="12.75" customHeight="1">
      <c r="A890" s="1" t="s">
        <v>72</v>
      </c>
      <c r="B890" s="1" t="s">
        <v>8847</v>
      </c>
      <c r="C890" s="1" t="s">
        <v>74</v>
      </c>
      <c r="D890" s="1" t="s">
        <v>74</v>
      </c>
      <c r="E890" s="1" t="s">
        <v>74</v>
      </c>
      <c r="F890" s="1" t="s">
        <v>8848</v>
      </c>
      <c r="G890" s="1" t="s">
        <v>74</v>
      </c>
      <c r="H890" s="1" t="s">
        <v>74</v>
      </c>
      <c r="I890" s="1" t="s">
        <v>8849</v>
      </c>
      <c r="J890" s="1" t="s">
        <v>1057</v>
      </c>
      <c r="K890" s="1" t="s">
        <v>74</v>
      </c>
      <c r="L890" s="1" t="s">
        <v>74</v>
      </c>
      <c r="M890" s="1" t="s">
        <v>74</v>
      </c>
      <c r="N890" s="1" t="s">
        <v>74</v>
      </c>
      <c r="O890" s="1" t="s">
        <v>74</v>
      </c>
      <c r="P890" s="1" t="s">
        <v>74</v>
      </c>
      <c r="Q890" s="1" t="s">
        <v>74</v>
      </c>
      <c r="R890" s="1" t="s">
        <v>74</v>
      </c>
      <c r="S890" s="1" t="s">
        <v>74</v>
      </c>
      <c r="T890" s="1" t="s">
        <v>74</v>
      </c>
      <c r="U890" s="1" t="s">
        <v>74</v>
      </c>
      <c r="V890" s="1" t="s">
        <v>8850</v>
      </c>
      <c r="W890" s="1" t="s">
        <v>74</v>
      </c>
      <c r="X890" s="1" t="s">
        <v>74</v>
      </c>
      <c r="Y890" s="1" t="s">
        <v>74</v>
      </c>
      <c r="Z890" s="1" t="s">
        <v>74</v>
      </c>
      <c r="AA890" s="1" t="s">
        <v>8851</v>
      </c>
      <c r="AB890" s="1" t="s">
        <v>8852</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74</v>
      </c>
      <c r="AP890" s="1" t="s">
        <v>1061</v>
      </c>
      <c r="AQ890" s="1" t="s">
        <v>74</v>
      </c>
      <c r="AR890" s="1" t="s">
        <v>74</v>
      </c>
      <c r="AS890" s="1" t="s">
        <v>74</v>
      </c>
      <c r="AT890" s="1" t="s">
        <v>334</v>
      </c>
      <c r="AU890" s="1">
        <v>2021.0</v>
      </c>
      <c r="AV890" s="1">
        <v>18.0</v>
      </c>
      <c r="AW890" s="1">
        <v>19.0</v>
      </c>
      <c r="AX890" s="1" t="s">
        <v>74</v>
      </c>
      <c r="AY890" s="1" t="s">
        <v>74</v>
      </c>
      <c r="AZ890" s="1" t="s">
        <v>74</v>
      </c>
      <c r="BA890" s="1" t="s">
        <v>74</v>
      </c>
      <c r="BB890" s="1" t="s">
        <v>74</v>
      </c>
      <c r="BC890" s="1" t="s">
        <v>74</v>
      </c>
      <c r="BD890" s="1">
        <v>10073.0</v>
      </c>
      <c r="BE890" s="1" t="s">
        <v>8853</v>
      </c>
      <c r="BF890" s="2" t="str">
        <f>HYPERLINK("http://dx.doi.org/10.3390/ijerph181910073","http://dx.doi.org/10.3390/ijerph181910073")</f>
        <v>http://dx.doi.org/10.3390/ijerph181910073</v>
      </c>
      <c r="BG890" s="1" t="s">
        <v>74</v>
      </c>
      <c r="BH890" s="1" t="s">
        <v>74</v>
      </c>
      <c r="BI890" s="1" t="s">
        <v>74</v>
      </c>
      <c r="BJ890" s="1" t="s">
        <v>74</v>
      </c>
      <c r="BK890" s="1" t="s">
        <v>74</v>
      </c>
      <c r="BL890" s="1" t="s">
        <v>74</v>
      </c>
      <c r="BM890" s="1" t="s">
        <v>74</v>
      </c>
      <c r="BN890" s="1">
        <v>3.4639375E7</v>
      </c>
      <c r="BO890" s="1" t="s">
        <v>74</v>
      </c>
      <c r="BP890" s="1" t="s">
        <v>74</v>
      </c>
      <c r="BQ890" s="1" t="s">
        <v>74</v>
      </c>
      <c r="BR890" s="1" t="s">
        <v>74</v>
      </c>
      <c r="BS890" s="1" t="s">
        <v>8854</v>
      </c>
      <c r="BT890" s="1" t="str">
        <f>HYPERLINK("https%3A%2F%2Fwww.webofscience.com%2Fwos%2Fwoscc%2Ffull-record%2FWOS:000762593300001","View Full Record in Web of Science")</f>
        <v>View Full Record in Web of Science</v>
      </c>
    </row>
    <row r="891" ht="12.75" customHeight="1">
      <c r="A891" s="1" t="s">
        <v>72</v>
      </c>
      <c r="B891" s="1" t="s">
        <v>8855</v>
      </c>
      <c r="C891" s="1" t="s">
        <v>74</v>
      </c>
      <c r="D891" s="1" t="s">
        <v>74</v>
      </c>
      <c r="E891" s="1" t="s">
        <v>74</v>
      </c>
      <c r="F891" s="1" t="s">
        <v>8856</v>
      </c>
      <c r="G891" s="1" t="s">
        <v>74</v>
      </c>
      <c r="H891" s="1" t="s">
        <v>74</v>
      </c>
      <c r="I891" s="1" t="s">
        <v>8857</v>
      </c>
      <c r="J891" s="1" t="s">
        <v>8858</v>
      </c>
      <c r="K891" s="1" t="s">
        <v>74</v>
      </c>
      <c r="L891" s="1" t="s">
        <v>74</v>
      </c>
      <c r="M891" s="1" t="s">
        <v>74</v>
      </c>
      <c r="N891" s="1" t="s">
        <v>74</v>
      </c>
      <c r="O891" s="1" t="s">
        <v>74</v>
      </c>
      <c r="P891" s="1" t="s">
        <v>74</v>
      </c>
      <c r="Q891" s="1" t="s">
        <v>74</v>
      </c>
      <c r="R891" s="1" t="s">
        <v>74</v>
      </c>
      <c r="S891" s="1" t="s">
        <v>74</v>
      </c>
      <c r="T891" s="1" t="s">
        <v>74</v>
      </c>
      <c r="U891" s="1" t="s">
        <v>74</v>
      </c>
      <c r="V891" s="1" t="s">
        <v>8859</v>
      </c>
      <c r="W891" s="1" t="s">
        <v>74</v>
      </c>
      <c r="X891" s="1" t="s">
        <v>74</v>
      </c>
      <c r="Y891" s="1" t="s">
        <v>74</v>
      </c>
      <c r="Z891" s="1" t="s">
        <v>74</v>
      </c>
      <c r="AA891" s="1" t="s">
        <v>8860</v>
      </c>
      <c r="AB891" s="1" t="s">
        <v>8861</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8862</v>
      </c>
      <c r="AP891" s="1" t="s">
        <v>8863</v>
      </c>
      <c r="AQ891" s="1" t="s">
        <v>74</v>
      </c>
      <c r="AR891" s="1" t="s">
        <v>74</v>
      </c>
      <c r="AS891" s="1" t="s">
        <v>74</v>
      </c>
      <c r="AT891" s="1" t="s">
        <v>94</v>
      </c>
      <c r="AU891" s="1">
        <v>2019.0</v>
      </c>
      <c r="AV891" s="1">
        <v>14.0</v>
      </c>
      <c r="AW891" s="1">
        <v>12.0</v>
      </c>
      <c r="AX891" s="1" t="s">
        <v>74</v>
      </c>
      <c r="AY891" s="1" t="s">
        <v>74</v>
      </c>
      <c r="AZ891" s="1" t="s">
        <v>74</v>
      </c>
      <c r="BA891" s="1" t="s">
        <v>74</v>
      </c>
      <c r="BB891" s="1">
        <v>1150.0</v>
      </c>
      <c r="BC891" s="1" t="s">
        <v>966</v>
      </c>
      <c r="BD891" s="1" t="s">
        <v>74</v>
      </c>
      <c r="BE891" s="1" t="s">
        <v>8864</v>
      </c>
      <c r="BF891" s="2" t="str">
        <f>HYPERLINK("http://dx.doi.org/10.1038/s41565-019-0568-x","http://dx.doi.org/10.1038/s41565-019-0568-x")</f>
        <v>http://dx.doi.org/10.1038/s41565-019-0568-x</v>
      </c>
      <c r="BG891" s="1" t="s">
        <v>74</v>
      </c>
      <c r="BH891" s="1" t="s">
        <v>74</v>
      </c>
      <c r="BI891" s="1" t="s">
        <v>74</v>
      </c>
      <c r="BJ891" s="1" t="s">
        <v>74</v>
      </c>
      <c r="BK891" s="1" t="s">
        <v>74</v>
      </c>
      <c r="BL891" s="1" t="s">
        <v>74</v>
      </c>
      <c r="BM891" s="1" t="s">
        <v>74</v>
      </c>
      <c r="BN891" s="1">
        <v>3.1686009E7</v>
      </c>
      <c r="BO891" s="1" t="s">
        <v>74</v>
      </c>
      <c r="BP891" s="1" t="s">
        <v>74</v>
      </c>
      <c r="BQ891" s="1" t="s">
        <v>74</v>
      </c>
      <c r="BR891" s="1" t="s">
        <v>74</v>
      </c>
      <c r="BS891" s="1" t="s">
        <v>8865</v>
      </c>
      <c r="BT891" s="1" t="str">
        <f>HYPERLINK("https%3A%2F%2Fwww.webofscience.com%2Fwos%2Fwoscc%2Ffull-record%2FWOS:000500925300014","View Full Record in Web of Science")</f>
        <v>View Full Record in Web of Science</v>
      </c>
    </row>
    <row r="892" ht="12.75" customHeight="1">
      <c r="A892" s="1" t="s">
        <v>72</v>
      </c>
      <c r="B892" s="1" t="s">
        <v>8866</v>
      </c>
      <c r="C892" s="1" t="s">
        <v>74</v>
      </c>
      <c r="D892" s="1" t="s">
        <v>74</v>
      </c>
      <c r="E892" s="1" t="s">
        <v>74</v>
      </c>
      <c r="F892" s="1" t="s">
        <v>8867</v>
      </c>
      <c r="G892" s="1" t="s">
        <v>74</v>
      </c>
      <c r="H892" s="1" t="s">
        <v>74</v>
      </c>
      <c r="I892" s="1" t="s">
        <v>8868</v>
      </c>
      <c r="J892" s="1" t="s">
        <v>8869</v>
      </c>
      <c r="K892" s="1" t="s">
        <v>74</v>
      </c>
      <c r="L892" s="1" t="s">
        <v>74</v>
      </c>
      <c r="M892" s="1" t="s">
        <v>74</v>
      </c>
      <c r="N892" s="1" t="s">
        <v>74</v>
      </c>
      <c r="O892" s="1" t="s">
        <v>74</v>
      </c>
      <c r="P892" s="1" t="s">
        <v>74</v>
      </c>
      <c r="Q892" s="1" t="s">
        <v>74</v>
      </c>
      <c r="R892" s="1" t="s">
        <v>74</v>
      </c>
      <c r="S892" s="1" t="s">
        <v>74</v>
      </c>
      <c r="T892" s="1" t="s">
        <v>74</v>
      </c>
      <c r="U892" s="1" t="s">
        <v>74</v>
      </c>
      <c r="V892" s="1" t="s">
        <v>8870</v>
      </c>
      <c r="W892" s="1" t="s">
        <v>74</v>
      </c>
      <c r="X892" s="1" t="s">
        <v>74</v>
      </c>
      <c r="Y892" s="1" t="s">
        <v>74</v>
      </c>
      <c r="Z892" s="1" t="s">
        <v>74</v>
      </c>
      <c r="AA892" s="1" t="s">
        <v>8871</v>
      </c>
      <c r="AB892" s="1" t="s">
        <v>8872</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74</v>
      </c>
      <c r="AP892" s="1" t="s">
        <v>8873</v>
      </c>
      <c r="AQ892" s="1" t="s">
        <v>74</v>
      </c>
      <c r="AR892" s="1" t="s">
        <v>74</v>
      </c>
      <c r="AS892" s="1" t="s">
        <v>74</v>
      </c>
      <c r="AT892" s="1" t="s">
        <v>8874</v>
      </c>
      <c r="AU892" s="1">
        <v>2024.0</v>
      </c>
      <c r="AV892" s="1">
        <v>18.0</v>
      </c>
      <c r="AW892" s="1">
        <v>1.0</v>
      </c>
      <c r="AX892" s="1" t="s">
        <v>74</v>
      </c>
      <c r="AY892" s="1" t="s">
        <v>74</v>
      </c>
      <c r="AZ892" s="1" t="s">
        <v>74</v>
      </c>
      <c r="BA892" s="1" t="s">
        <v>74</v>
      </c>
      <c r="BB892" s="1" t="s">
        <v>74</v>
      </c>
      <c r="BC892" s="1" t="s">
        <v>74</v>
      </c>
      <c r="BD892" s="1">
        <v>83.0</v>
      </c>
      <c r="BE892" s="1" t="s">
        <v>8875</v>
      </c>
      <c r="BF892" s="2" t="str">
        <f>HYPERLINK("http://dx.doi.org/10.1186/s13065-024-01194-3","http://dx.doi.org/10.1186/s13065-024-01194-3")</f>
        <v>http://dx.doi.org/10.1186/s13065-024-01194-3</v>
      </c>
      <c r="BG892" s="1" t="s">
        <v>74</v>
      </c>
      <c r="BH892" s="1" t="s">
        <v>74</v>
      </c>
      <c r="BI892" s="1" t="s">
        <v>74</v>
      </c>
      <c r="BJ892" s="1" t="s">
        <v>74</v>
      </c>
      <c r="BK892" s="1" t="s">
        <v>74</v>
      </c>
      <c r="BL892" s="1" t="s">
        <v>74</v>
      </c>
      <c r="BM892" s="1" t="s">
        <v>74</v>
      </c>
      <c r="BN892" s="1">
        <v>3.8725018E7</v>
      </c>
      <c r="BO892" s="1" t="s">
        <v>74</v>
      </c>
      <c r="BP892" s="1" t="s">
        <v>74</v>
      </c>
      <c r="BQ892" s="1" t="s">
        <v>74</v>
      </c>
      <c r="BR892" s="1" t="s">
        <v>74</v>
      </c>
      <c r="BS892" s="1" t="s">
        <v>8876</v>
      </c>
      <c r="BT892" s="1" t="str">
        <f>HYPERLINK("https%3A%2F%2Fwww.webofscience.com%2Fwos%2Fwoscc%2Ffull-record%2FWOS:001217608900001","View Full Record in Web of Science")</f>
        <v>View Full Record in Web of Science</v>
      </c>
    </row>
    <row r="893" ht="12.75" customHeight="1">
      <c r="A893" s="1" t="s">
        <v>72</v>
      </c>
      <c r="B893" s="1" t="s">
        <v>8877</v>
      </c>
      <c r="C893" s="1" t="s">
        <v>74</v>
      </c>
      <c r="D893" s="1" t="s">
        <v>74</v>
      </c>
      <c r="E893" s="1" t="s">
        <v>74</v>
      </c>
      <c r="F893" s="1" t="s">
        <v>8878</v>
      </c>
      <c r="G893" s="1" t="s">
        <v>74</v>
      </c>
      <c r="H893" s="1" t="s">
        <v>74</v>
      </c>
      <c r="I893" s="1" t="s">
        <v>8879</v>
      </c>
      <c r="J893" s="1" t="s">
        <v>8880</v>
      </c>
      <c r="K893" s="1" t="s">
        <v>74</v>
      </c>
      <c r="L893" s="1" t="s">
        <v>74</v>
      </c>
      <c r="M893" s="1" t="s">
        <v>74</v>
      </c>
      <c r="N893" s="1" t="s">
        <v>74</v>
      </c>
      <c r="O893" s="1" t="s">
        <v>74</v>
      </c>
      <c r="P893" s="1" t="s">
        <v>74</v>
      </c>
      <c r="Q893" s="1" t="s">
        <v>74</v>
      </c>
      <c r="R893" s="1" t="s">
        <v>74</v>
      </c>
      <c r="S893" s="1" t="s">
        <v>74</v>
      </c>
      <c r="T893" s="1" t="s">
        <v>74</v>
      </c>
      <c r="U893" s="1" t="s">
        <v>74</v>
      </c>
      <c r="V893" s="1" t="s">
        <v>8881</v>
      </c>
      <c r="W893" s="1" t="s">
        <v>74</v>
      </c>
      <c r="X893" s="1" t="s">
        <v>74</v>
      </c>
      <c r="Y893" s="1" t="s">
        <v>74</v>
      </c>
      <c r="Z893" s="1" t="s">
        <v>74</v>
      </c>
      <c r="AA893" s="1" t="s">
        <v>8882</v>
      </c>
      <c r="AB893" s="1" t="s">
        <v>8883</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74</v>
      </c>
      <c r="AP893" s="1" t="s">
        <v>8884</v>
      </c>
      <c r="AQ893" s="1" t="s">
        <v>74</v>
      </c>
      <c r="AR893" s="1" t="s">
        <v>74</v>
      </c>
      <c r="AS893" s="1" t="s">
        <v>74</v>
      </c>
      <c r="AT893" s="1" t="s">
        <v>74</v>
      </c>
      <c r="AU893" s="1">
        <v>2020.0</v>
      </c>
      <c r="AV893" s="1">
        <v>2.0</v>
      </c>
      <c r="AW893" s="1">
        <v>2.0</v>
      </c>
      <c r="AX893" s="1" t="s">
        <v>74</v>
      </c>
      <c r="AY893" s="1" t="s">
        <v>74</v>
      </c>
      <c r="AZ893" s="1" t="s">
        <v>74</v>
      </c>
      <c r="BA893" s="1" t="s">
        <v>74</v>
      </c>
      <c r="BB893" s="1" t="s">
        <v>74</v>
      </c>
      <c r="BC893" s="1" t="s">
        <v>74</v>
      </c>
      <c r="BD893" s="1">
        <v>95.0</v>
      </c>
      <c r="BE893" s="1" t="s">
        <v>8885</v>
      </c>
      <c r="BF893" s="2" t="str">
        <f>HYPERLINK("http://dx.doi.org/10.1093/braincomms/fcaa095","http://dx.doi.org/10.1093/braincomms/fcaa095")</f>
        <v>http://dx.doi.org/10.1093/braincomms/fcaa095</v>
      </c>
      <c r="BG893" s="1" t="s">
        <v>74</v>
      </c>
      <c r="BH893" s="1" t="s">
        <v>74</v>
      </c>
      <c r="BI893" s="1" t="s">
        <v>74</v>
      </c>
      <c r="BJ893" s="1" t="s">
        <v>74</v>
      </c>
      <c r="BK893" s="1" t="s">
        <v>74</v>
      </c>
      <c r="BL893" s="1" t="s">
        <v>74</v>
      </c>
      <c r="BM893" s="1" t="s">
        <v>74</v>
      </c>
      <c r="BN893" s="1">
        <v>3.295434E7</v>
      </c>
      <c r="BO893" s="1" t="s">
        <v>74</v>
      </c>
      <c r="BP893" s="1" t="s">
        <v>74</v>
      </c>
      <c r="BQ893" s="1" t="s">
        <v>74</v>
      </c>
      <c r="BR893" s="1" t="s">
        <v>74</v>
      </c>
      <c r="BS893" s="1" t="s">
        <v>8886</v>
      </c>
      <c r="BT893" s="1" t="str">
        <f>HYPERLINK("https%3A%2F%2Fwww.webofscience.com%2Fwos%2Fwoscc%2Ffull-record%2FWOS:000639431800036","View Full Record in Web of Science")</f>
        <v>View Full Record in Web of Science</v>
      </c>
    </row>
    <row r="894" ht="12.75" customHeight="1">
      <c r="A894" s="1" t="s">
        <v>72</v>
      </c>
      <c r="B894" s="1" t="s">
        <v>8887</v>
      </c>
      <c r="C894" s="1" t="s">
        <v>74</v>
      </c>
      <c r="D894" s="1" t="s">
        <v>74</v>
      </c>
      <c r="E894" s="1" t="s">
        <v>74</v>
      </c>
      <c r="F894" s="1" t="s">
        <v>8888</v>
      </c>
      <c r="G894" s="1" t="s">
        <v>74</v>
      </c>
      <c r="H894" s="1" t="s">
        <v>74</v>
      </c>
      <c r="I894" s="1" t="s">
        <v>8889</v>
      </c>
      <c r="J894" s="1" t="s">
        <v>617</v>
      </c>
      <c r="K894" s="1" t="s">
        <v>74</v>
      </c>
      <c r="L894" s="1" t="s">
        <v>74</v>
      </c>
      <c r="M894" s="1" t="s">
        <v>74</v>
      </c>
      <c r="N894" s="1" t="s">
        <v>74</v>
      </c>
      <c r="O894" s="1" t="s">
        <v>74</v>
      </c>
      <c r="P894" s="1" t="s">
        <v>74</v>
      </c>
      <c r="Q894" s="1" t="s">
        <v>74</v>
      </c>
      <c r="R894" s="1" t="s">
        <v>74</v>
      </c>
      <c r="S894" s="1" t="s">
        <v>74</v>
      </c>
      <c r="T894" s="1" t="s">
        <v>74</v>
      </c>
      <c r="U894" s="1" t="s">
        <v>74</v>
      </c>
      <c r="V894" s="1" t="s">
        <v>74</v>
      </c>
      <c r="W894" s="1" t="s">
        <v>74</v>
      </c>
      <c r="X894" s="1" t="s">
        <v>74</v>
      </c>
      <c r="Y894" s="1" t="s">
        <v>74</v>
      </c>
      <c r="Z894" s="1" t="s">
        <v>74</v>
      </c>
      <c r="AA894" s="1" t="s">
        <v>8890</v>
      </c>
      <c r="AB894" s="1" t="s">
        <v>8891</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620</v>
      </c>
      <c r="AP894" s="1" t="s">
        <v>621</v>
      </c>
      <c r="AQ894" s="1" t="s">
        <v>74</v>
      </c>
      <c r="AR894" s="1" t="s">
        <v>74</v>
      </c>
      <c r="AS894" s="1" t="s">
        <v>74</v>
      </c>
      <c r="AT894" s="1" t="s">
        <v>202</v>
      </c>
      <c r="AU894" s="1">
        <v>2021.0</v>
      </c>
      <c r="AV894" s="1">
        <v>27.0</v>
      </c>
      <c r="AW894" s="1">
        <v>6.0</v>
      </c>
      <c r="AX894" s="1" t="s">
        <v>74</v>
      </c>
      <c r="AY894" s="1" t="s">
        <v>74</v>
      </c>
      <c r="AZ894" s="1" t="s">
        <v>74</v>
      </c>
      <c r="BA894" s="1" t="s">
        <v>74</v>
      </c>
      <c r="BB894" s="1">
        <v>935.0</v>
      </c>
      <c r="BC894" s="1">
        <v>936.0</v>
      </c>
      <c r="BD894" s="1" t="s">
        <v>74</v>
      </c>
      <c r="BE894" s="1" t="s">
        <v>8892</v>
      </c>
      <c r="BF894" s="2" t="str">
        <f>HYPERLINK("http://dx.doi.org/10.1038/s41591-021-01322-9","http://dx.doi.org/10.1038/s41591-021-01322-9")</f>
        <v>http://dx.doi.org/10.1038/s41591-021-01322-9</v>
      </c>
      <c r="BG894" s="1" t="s">
        <v>74</v>
      </c>
      <c r="BH894" s="1" t="s">
        <v>254</v>
      </c>
      <c r="BI894" s="1" t="s">
        <v>74</v>
      </c>
      <c r="BJ894" s="1" t="s">
        <v>74</v>
      </c>
      <c r="BK894" s="1" t="s">
        <v>74</v>
      </c>
      <c r="BL894" s="1" t="s">
        <v>74</v>
      </c>
      <c r="BM894" s="1" t="s">
        <v>74</v>
      </c>
      <c r="BN894" s="1">
        <v>3.3785911E7</v>
      </c>
      <c r="BO894" s="1" t="s">
        <v>74</v>
      </c>
      <c r="BP894" s="1" t="s">
        <v>74</v>
      </c>
      <c r="BQ894" s="1" t="s">
        <v>74</v>
      </c>
      <c r="BR894" s="1" t="s">
        <v>74</v>
      </c>
      <c r="BS894" s="1" t="s">
        <v>8893</v>
      </c>
      <c r="BT894" s="1" t="str">
        <f>HYPERLINK("https%3A%2F%2Fwww.webofscience.com%2Fwos%2Fwoscc%2Ffull-record%2FWOS:000635026800002","View Full Record in Web of Science")</f>
        <v>View Full Record in Web of Science</v>
      </c>
    </row>
    <row r="895" ht="12.75" customHeight="1">
      <c r="A895" s="1" t="s">
        <v>72</v>
      </c>
      <c r="B895" s="1" t="s">
        <v>8894</v>
      </c>
      <c r="C895" s="1" t="s">
        <v>74</v>
      </c>
      <c r="D895" s="1" t="s">
        <v>74</v>
      </c>
      <c r="E895" s="1" t="s">
        <v>74</v>
      </c>
      <c r="F895" s="1" t="s">
        <v>8895</v>
      </c>
      <c r="G895" s="1" t="s">
        <v>74</v>
      </c>
      <c r="H895" s="1" t="s">
        <v>74</v>
      </c>
      <c r="I895" s="1" t="s">
        <v>8896</v>
      </c>
      <c r="J895" s="1" t="s">
        <v>6166</v>
      </c>
      <c r="K895" s="1" t="s">
        <v>74</v>
      </c>
      <c r="L895" s="1" t="s">
        <v>74</v>
      </c>
      <c r="M895" s="1" t="s">
        <v>74</v>
      </c>
      <c r="N895" s="1" t="s">
        <v>74</v>
      </c>
      <c r="O895" s="1" t="s">
        <v>74</v>
      </c>
      <c r="P895" s="1" t="s">
        <v>74</v>
      </c>
      <c r="Q895" s="1" t="s">
        <v>74</v>
      </c>
      <c r="R895" s="1" t="s">
        <v>74</v>
      </c>
      <c r="S895" s="1" t="s">
        <v>74</v>
      </c>
      <c r="T895" s="1" t="s">
        <v>74</v>
      </c>
      <c r="U895" s="1" t="s">
        <v>74</v>
      </c>
      <c r="V895" s="1" t="s">
        <v>8897</v>
      </c>
      <c r="W895" s="1" t="s">
        <v>74</v>
      </c>
      <c r="X895" s="1" t="s">
        <v>74</v>
      </c>
      <c r="Y895" s="1" t="s">
        <v>74</v>
      </c>
      <c r="Z895" s="1" t="s">
        <v>74</v>
      </c>
      <c r="AA895" s="1" t="s">
        <v>8898</v>
      </c>
      <c r="AB895" s="1" t="s">
        <v>8899</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6170</v>
      </c>
      <c r="AP895" s="1" t="s">
        <v>6171</v>
      </c>
      <c r="AQ895" s="1" t="s">
        <v>74</v>
      </c>
      <c r="AR895" s="1" t="s">
        <v>74</v>
      </c>
      <c r="AS895" s="1" t="s">
        <v>74</v>
      </c>
      <c r="AT895" s="1" t="s">
        <v>94</v>
      </c>
      <c r="AU895" s="1">
        <v>2021.0</v>
      </c>
      <c r="AV895" s="1">
        <v>36.0</v>
      </c>
      <c r="AW895" s="1">
        <v>12.0</v>
      </c>
      <c r="AX895" s="1" t="s">
        <v>74</v>
      </c>
      <c r="AY895" s="1" t="s">
        <v>74</v>
      </c>
      <c r="AZ895" s="1" t="s">
        <v>74</v>
      </c>
      <c r="BA895" s="1" t="s">
        <v>74</v>
      </c>
      <c r="BB895" s="1">
        <v>2862.0</v>
      </c>
      <c r="BC895" s="1">
        <v>2873.0</v>
      </c>
      <c r="BD895" s="1" t="s">
        <v>74</v>
      </c>
      <c r="BE895" s="1" t="s">
        <v>8900</v>
      </c>
      <c r="BF895" s="2" t="str">
        <f>HYPERLINK("http://dx.doi.org/10.1002/mds.28751","http://dx.doi.org/10.1002/mds.28751")</f>
        <v>http://dx.doi.org/10.1002/mds.28751</v>
      </c>
      <c r="BG895" s="1" t="s">
        <v>74</v>
      </c>
      <c r="BH895" s="1" t="s">
        <v>178</v>
      </c>
      <c r="BI895" s="1" t="s">
        <v>74</v>
      </c>
      <c r="BJ895" s="1" t="s">
        <v>74</v>
      </c>
      <c r="BK895" s="1" t="s">
        <v>74</v>
      </c>
      <c r="BL895" s="1" t="s">
        <v>74</v>
      </c>
      <c r="BM895" s="1" t="s">
        <v>74</v>
      </c>
      <c r="BN895" s="1">
        <v>3.4390508E7</v>
      </c>
      <c r="BO895" s="1" t="s">
        <v>74</v>
      </c>
      <c r="BP895" s="1" t="s">
        <v>74</v>
      </c>
      <c r="BQ895" s="1" t="s">
        <v>74</v>
      </c>
      <c r="BR895" s="1" t="s">
        <v>74</v>
      </c>
      <c r="BS895" s="1" t="s">
        <v>8901</v>
      </c>
      <c r="BT895" s="1" t="str">
        <f>HYPERLINK("https%3A%2F%2Fwww.webofscience.com%2Fwos%2Fwoscc%2Ffull-record%2FWOS:000684841800001","View Full Record in Web of Science")</f>
        <v>View Full Record in Web of Science</v>
      </c>
    </row>
    <row r="896" ht="12.75" customHeight="1">
      <c r="A896" s="1" t="s">
        <v>72</v>
      </c>
      <c r="B896" s="1" t="s">
        <v>8902</v>
      </c>
      <c r="C896" s="1" t="s">
        <v>74</v>
      </c>
      <c r="D896" s="1" t="s">
        <v>74</v>
      </c>
      <c r="E896" s="1" t="s">
        <v>74</v>
      </c>
      <c r="F896" s="1" t="s">
        <v>8903</v>
      </c>
      <c r="G896" s="1" t="s">
        <v>74</v>
      </c>
      <c r="H896" s="1" t="s">
        <v>74</v>
      </c>
      <c r="I896" s="1" t="s">
        <v>8904</v>
      </c>
      <c r="J896" s="1" t="s">
        <v>6100</v>
      </c>
      <c r="K896" s="1" t="s">
        <v>74</v>
      </c>
      <c r="L896" s="1" t="s">
        <v>74</v>
      </c>
      <c r="M896" s="1" t="s">
        <v>74</v>
      </c>
      <c r="N896" s="1" t="s">
        <v>74</v>
      </c>
      <c r="O896" s="1" t="s">
        <v>74</v>
      </c>
      <c r="P896" s="1" t="s">
        <v>74</v>
      </c>
      <c r="Q896" s="1" t="s">
        <v>74</v>
      </c>
      <c r="R896" s="1" t="s">
        <v>74</v>
      </c>
      <c r="S896" s="1" t="s">
        <v>74</v>
      </c>
      <c r="T896" s="1" t="s">
        <v>74</v>
      </c>
      <c r="U896" s="1" t="s">
        <v>74</v>
      </c>
      <c r="V896" s="1" t="s">
        <v>8905</v>
      </c>
      <c r="W896" s="1" t="s">
        <v>74</v>
      </c>
      <c r="X896" s="1" t="s">
        <v>74</v>
      </c>
      <c r="Y896" s="1" t="s">
        <v>74</v>
      </c>
      <c r="Z896" s="1" t="s">
        <v>74</v>
      </c>
      <c r="AA896" s="1" t="s">
        <v>8906</v>
      </c>
      <c r="AB896" s="1" t="s">
        <v>8907</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6104</v>
      </c>
      <c r="AP896" s="1" t="s">
        <v>8908</v>
      </c>
      <c r="AQ896" s="1" t="s">
        <v>74</v>
      </c>
      <c r="AR896" s="1" t="s">
        <v>74</v>
      </c>
      <c r="AS896" s="1" t="s">
        <v>74</v>
      </c>
      <c r="AT896" s="1" t="s">
        <v>392</v>
      </c>
      <c r="AU896" s="1">
        <v>2025.0</v>
      </c>
      <c r="AV896" s="1">
        <v>54.0</v>
      </c>
      <c r="AW896" s="1">
        <v>2.0</v>
      </c>
      <c r="AX896" s="1" t="s">
        <v>74</v>
      </c>
      <c r="AY896" s="1" t="s">
        <v>74</v>
      </c>
      <c r="AZ896" s="1" t="s">
        <v>74</v>
      </c>
      <c r="BA896" s="1" t="s">
        <v>74</v>
      </c>
      <c r="BB896" s="1">
        <v>96.0</v>
      </c>
      <c r="BC896" s="1">
        <v>108.0</v>
      </c>
      <c r="BD896" s="1" t="s">
        <v>74</v>
      </c>
      <c r="BE896" s="1" t="s">
        <v>8909</v>
      </c>
      <c r="BF896" s="2" t="str">
        <f>HYPERLINK("http://dx.doi.org/10.1159/000541581","http://dx.doi.org/10.1159/000541581")</f>
        <v>http://dx.doi.org/10.1159/000541581</v>
      </c>
      <c r="BG896" s="1" t="s">
        <v>74</v>
      </c>
      <c r="BH896" s="1" t="s">
        <v>428</v>
      </c>
      <c r="BI896" s="1" t="s">
        <v>74</v>
      </c>
      <c r="BJ896" s="1" t="s">
        <v>74</v>
      </c>
      <c r="BK896" s="1" t="s">
        <v>74</v>
      </c>
      <c r="BL896" s="1" t="s">
        <v>74</v>
      </c>
      <c r="BM896" s="1" t="s">
        <v>74</v>
      </c>
      <c r="BN896" s="1">
        <v>3.9348797E7</v>
      </c>
      <c r="BO896" s="1" t="s">
        <v>74</v>
      </c>
      <c r="BP896" s="1" t="s">
        <v>74</v>
      </c>
      <c r="BQ896" s="1" t="s">
        <v>74</v>
      </c>
      <c r="BR896" s="1" t="s">
        <v>74</v>
      </c>
      <c r="BS896" s="1" t="s">
        <v>8910</v>
      </c>
      <c r="BT896" s="1" t="str">
        <f>HYPERLINK("https%3A%2F%2Fwww.webofscience.com%2Fwos%2Fwoscc%2Ffull-record%2FWOS:001346208300001","View Full Record in Web of Science")</f>
        <v>View Full Record in Web of Science</v>
      </c>
    </row>
    <row r="897" ht="12.75" customHeight="1">
      <c r="A897" s="1" t="s">
        <v>72</v>
      </c>
      <c r="B897" s="1" t="s">
        <v>8911</v>
      </c>
      <c r="C897" s="1" t="s">
        <v>74</v>
      </c>
      <c r="D897" s="1" t="s">
        <v>74</v>
      </c>
      <c r="E897" s="1" t="s">
        <v>74</v>
      </c>
      <c r="F897" s="1" t="s">
        <v>8912</v>
      </c>
      <c r="G897" s="1" t="s">
        <v>74</v>
      </c>
      <c r="H897" s="1" t="s">
        <v>74</v>
      </c>
      <c r="I897" s="1" t="s">
        <v>8913</v>
      </c>
      <c r="J897" s="1" t="s">
        <v>8914</v>
      </c>
      <c r="K897" s="1" t="s">
        <v>74</v>
      </c>
      <c r="L897" s="1" t="s">
        <v>74</v>
      </c>
      <c r="M897" s="1" t="s">
        <v>74</v>
      </c>
      <c r="N897" s="1" t="s">
        <v>74</v>
      </c>
      <c r="O897" s="1" t="s">
        <v>74</v>
      </c>
      <c r="P897" s="1" t="s">
        <v>74</v>
      </c>
      <c r="Q897" s="1" t="s">
        <v>74</v>
      </c>
      <c r="R897" s="1" t="s">
        <v>74</v>
      </c>
      <c r="S897" s="1" t="s">
        <v>74</v>
      </c>
      <c r="T897" s="1" t="s">
        <v>74</v>
      </c>
      <c r="U897" s="1" t="s">
        <v>74</v>
      </c>
      <c r="V897" s="1" t="s">
        <v>8915</v>
      </c>
      <c r="W897" s="1" t="s">
        <v>74</v>
      </c>
      <c r="X897" s="1" t="s">
        <v>74</v>
      </c>
      <c r="Y897" s="1" t="s">
        <v>74</v>
      </c>
      <c r="Z897" s="1" t="s">
        <v>74</v>
      </c>
      <c r="AA897" s="1" t="s">
        <v>8916</v>
      </c>
      <c r="AB897" s="1" t="s">
        <v>8917</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8918</v>
      </c>
      <c r="AP897" s="1" t="s">
        <v>8919</v>
      </c>
      <c r="AQ897" s="1" t="s">
        <v>74</v>
      </c>
      <c r="AR897" s="1" t="s">
        <v>74</v>
      </c>
      <c r="AS897" s="1" t="s">
        <v>74</v>
      </c>
      <c r="AT897" s="1" t="s">
        <v>202</v>
      </c>
      <c r="AU897" s="1">
        <v>2009.0</v>
      </c>
      <c r="AV897" s="1">
        <v>86.0</v>
      </c>
      <c r="AW897" s="1">
        <v>6.0</v>
      </c>
      <c r="AX897" s="1" t="s">
        <v>74</v>
      </c>
      <c r="AY897" s="1" t="s">
        <v>74</v>
      </c>
      <c r="AZ897" s="1" t="s">
        <v>74</v>
      </c>
      <c r="BA897" s="1" t="s">
        <v>74</v>
      </c>
      <c r="BB897" s="1" t="s">
        <v>74</v>
      </c>
      <c r="BC897" s="1" t="s">
        <v>74</v>
      </c>
      <c r="BD897" s="1">
        <v>67008.0</v>
      </c>
      <c r="BE897" s="1" t="s">
        <v>8920</v>
      </c>
      <c r="BF897" s="2" t="str">
        <f>HYPERLINK("http://dx.doi.org/10.1209/0295-5075/86/67008","http://dx.doi.org/10.1209/0295-5075/86/67008")</f>
        <v>http://dx.doi.org/10.1209/0295-5075/86/67008</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8921</v>
      </c>
      <c r="BT897" s="1" t="str">
        <f>HYPERLINK("https%3A%2F%2Fwww.webofscience.com%2Fwos%2Fwoscc%2Ffull-record%2FWOS:000269357700032","View Full Record in Web of Science")</f>
        <v>View Full Record in Web of Science</v>
      </c>
    </row>
    <row r="898" ht="12.75" customHeight="1">
      <c r="A898" s="1" t="s">
        <v>72</v>
      </c>
      <c r="B898" s="1" t="s">
        <v>8922</v>
      </c>
      <c r="C898" s="1" t="s">
        <v>74</v>
      </c>
      <c r="D898" s="1" t="s">
        <v>74</v>
      </c>
      <c r="E898" s="1" t="s">
        <v>74</v>
      </c>
      <c r="F898" s="1" t="s">
        <v>8923</v>
      </c>
      <c r="G898" s="1" t="s">
        <v>74</v>
      </c>
      <c r="H898" s="1" t="s">
        <v>74</v>
      </c>
      <c r="I898" s="1" t="s">
        <v>8924</v>
      </c>
      <c r="J898" s="1" t="s">
        <v>8925</v>
      </c>
      <c r="K898" s="1" t="s">
        <v>74</v>
      </c>
      <c r="L898" s="1" t="s">
        <v>74</v>
      </c>
      <c r="M898" s="1" t="s">
        <v>74</v>
      </c>
      <c r="N898" s="1" t="s">
        <v>74</v>
      </c>
      <c r="O898" s="1" t="s">
        <v>74</v>
      </c>
      <c r="P898" s="1" t="s">
        <v>74</v>
      </c>
      <c r="Q898" s="1" t="s">
        <v>74</v>
      </c>
      <c r="R898" s="1" t="s">
        <v>74</v>
      </c>
      <c r="S898" s="1" t="s">
        <v>74</v>
      </c>
      <c r="T898" s="1" t="s">
        <v>74</v>
      </c>
      <c r="U898" s="1" t="s">
        <v>74</v>
      </c>
      <c r="V898" s="1" t="s">
        <v>8926</v>
      </c>
      <c r="W898" s="1" t="s">
        <v>74</v>
      </c>
      <c r="X898" s="1" t="s">
        <v>74</v>
      </c>
      <c r="Y898" s="1" t="s">
        <v>74</v>
      </c>
      <c r="Z898" s="1" t="s">
        <v>74</v>
      </c>
      <c r="AA898" s="1" t="s">
        <v>8927</v>
      </c>
      <c r="AB898" s="1" t="s">
        <v>8928</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8929</v>
      </c>
      <c r="AP898" s="1" t="s">
        <v>8930</v>
      </c>
      <c r="AQ898" s="1" t="s">
        <v>74</v>
      </c>
      <c r="AR898" s="1" t="s">
        <v>74</v>
      </c>
      <c r="AS898" s="1" t="s">
        <v>74</v>
      </c>
      <c r="AT898" s="1" t="s">
        <v>74</v>
      </c>
      <c r="AU898" s="1">
        <v>2024.0</v>
      </c>
      <c r="AV898" s="1">
        <v>41.0</v>
      </c>
      <c r="AW898" s="1">
        <v>2.0</v>
      </c>
      <c r="AX898" s="1" t="s">
        <v>74</v>
      </c>
      <c r="AY898" s="1" t="s">
        <v>74</v>
      </c>
      <c r="AZ898" s="1" t="s">
        <v>74</v>
      </c>
      <c r="BA898" s="1" t="s">
        <v>74</v>
      </c>
      <c r="BB898" s="1">
        <v>405.0</v>
      </c>
      <c r="BC898" s="1">
        <v>414.0</v>
      </c>
      <c r="BD898" s="1" t="s">
        <v>74</v>
      </c>
      <c r="BE898" s="1" t="s">
        <v>8931</v>
      </c>
      <c r="BF898" s="2" t="str">
        <f>HYPERLINK("http://dx.doi.org/10.5209/ashf.88951","http://dx.doi.org/10.5209/ashf.88951")</f>
        <v>http://dx.doi.org/10.5209/ashf.88951</v>
      </c>
      <c r="BG898" s="1" t="s">
        <v>74</v>
      </c>
      <c r="BH898" s="1" t="s">
        <v>74</v>
      </c>
      <c r="BI898" s="1" t="s">
        <v>74</v>
      </c>
      <c r="BJ898" s="1" t="s">
        <v>74</v>
      </c>
      <c r="BK898" s="1" t="s">
        <v>74</v>
      </c>
      <c r="BL898" s="1" t="s">
        <v>74</v>
      </c>
      <c r="BM898" s="1" t="s">
        <v>74</v>
      </c>
      <c r="BN898" s="1" t="s">
        <v>74</v>
      </c>
      <c r="BO898" s="1" t="s">
        <v>74</v>
      </c>
      <c r="BP898" s="1" t="s">
        <v>74</v>
      </c>
      <c r="BQ898" s="1" t="s">
        <v>74</v>
      </c>
      <c r="BR898" s="1" t="s">
        <v>74</v>
      </c>
      <c r="BS898" s="1" t="s">
        <v>8932</v>
      </c>
      <c r="BT898" s="1" t="str">
        <f>HYPERLINK("https%3A%2F%2Fwww.webofscience.com%2Fwos%2Fwoscc%2Ffull-record%2FWOS:001239866300013","View Full Record in Web of Science")</f>
        <v>View Full Record in Web of Science</v>
      </c>
    </row>
    <row r="899" ht="12.75" customHeight="1">
      <c r="A899" s="1" t="s">
        <v>72</v>
      </c>
      <c r="B899" s="1" t="s">
        <v>8933</v>
      </c>
      <c r="C899" s="1" t="s">
        <v>74</v>
      </c>
      <c r="D899" s="1" t="s">
        <v>74</v>
      </c>
      <c r="E899" s="1" t="s">
        <v>74</v>
      </c>
      <c r="F899" s="1" t="s">
        <v>8934</v>
      </c>
      <c r="G899" s="1" t="s">
        <v>74</v>
      </c>
      <c r="H899" s="1" t="s">
        <v>8338</v>
      </c>
      <c r="I899" s="1" t="s">
        <v>8935</v>
      </c>
      <c r="J899" s="1" t="s">
        <v>1057</v>
      </c>
      <c r="K899" s="1" t="s">
        <v>74</v>
      </c>
      <c r="L899" s="1" t="s">
        <v>74</v>
      </c>
      <c r="M899" s="1" t="s">
        <v>74</v>
      </c>
      <c r="N899" s="1" t="s">
        <v>74</v>
      </c>
      <c r="O899" s="1" t="s">
        <v>74</v>
      </c>
      <c r="P899" s="1" t="s">
        <v>74</v>
      </c>
      <c r="Q899" s="1" t="s">
        <v>74</v>
      </c>
      <c r="R899" s="1" t="s">
        <v>74</v>
      </c>
      <c r="S899" s="1" t="s">
        <v>74</v>
      </c>
      <c r="T899" s="1" t="s">
        <v>74</v>
      </c>
      <c r="U899" s="1" t="s">
        <v>74</v>
      </c>
      <c r="V899" s="1" t="s">
        <v>8936</v>
      </c>
      <c r="W899" s="1" t="s">
        <v>74</v>
      </c>
      <c r="X899" s="1" t="s">
        <v>74</v>
      </c>
      <c r="Y899" s="1" t="s">
        <v>74</v>
      </c>
      <c r="Z899" s="1" t="s">
        <v>74</v>
      </c>
      <c r="AA899" s="1" t="s">
        <v>8937</v>
      </c>
      <c r="AB899" s="1" t="s">
        <v>8938</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74</v>
      </c>
      <c r="AP899" s="1" t="s">
        <v>1061</v>
      </c>
      <c r="AQ899" s="1" t="s">
        <v>74</v>
      </c>
      <c r="AR899" s="1" t="s">
        <v>74</v>
      </c>
      <c r="AS899" s="1" t="s">
        <v>74</v>
      </c>
      <c r="AT899" s="1" t="s">
        <v>214</v>
      </c>
      <c r="AU899" s="1">
        <v>2022.0</v>
      </c>
      <c r="AV899" s="1">
        <v>19.0</v>
      </c>
      <c r="AW899" s="1">
        <v>3.0</v>
      </c>
      <c r="AX899" s="1" t="s">
        <v>74</v>
      </c>
      <c r="AY899" s="1" t="s">
        <v>74</v>
      </c>
      <c r="AZ899" s="1" t="s">
        <v>74</v>
      </c>
      <c r="BA899" s="1" t="s">
        <v>74</v>
      </c>
      <c r="BB899" s="1" t="s">
        <v>74</v>
      </c>
      <c r="BC899" s="1" t="s">
        <v>74</v>
      </c>
      <c r="BD899" s="1">
        <v>1129.0</v>
      </c>
      <c r="BE899" s="1" t="s">
        <v>8939</v>
      </c>
      <c r="BF899" s="2" t="str">
        <f>HYPERLINK("http://dx.doi.org/10.3390/ijerph19031129","http://dx.doi.org/10.3390/ijerph19031129")</f>
        <v>http://dx.doi.org/10.3390/ijerph19031129</v>
      </c>
      <c r="BG899" s="1" t="s">
        <v>74</v>
      </c>
      <c r="BH899" s="1" t="s">
        <v>74</v>
      </c>
      <c r="BI899" s="1" t="s">
        <v>74</v>
      </c>
      <c r="BJ899" s="1" t="s">
        <v>74</v>
      </c>
      <c r="BK899" s="1" t="s">
        <v>74</v>
      </c>
      <c r="BL899" s="1" t="s">
        <v>74</v>
      </c>
      <c r="BM899" s="1" t="s">
        <v>74</v>
      </c>
      <c r="BN899" s="1">
        <v>3.5162152E7</v>
      </c>
      <c r="BO899" s="1" t="s">
        <v>74</v>
      </c>
      <c r="BP899" s="1" t="s">
        <v>74</v>
      </c>
      <c r="BQ899" s="1" t="s">
        <v>74</v>
      </c>
      <c r="BR899" s="1" t="s">
        <v>74</v>
      </c>
      <c r="BS899" s="1" t="s">
        <v>8940</v>
      </c>
      <c r="BT899" s="1" t="str">
        <f>HYPERLINK("https%3A%2F%2Fwww.webofscience.com%2Fwos%2Fwoscc%2Ffull-record%2FWOS:000754784500001","View Full Record in Web of Science")</f>
        <v>View Full Record in Web of Science</v>
      </c>
    </row>
    <row r="900" ht="12.75" customHeight="1">
      <c r="A900" s="1" t="s">
        <v>72</v>
      </c>
      <c r="B900" s="1" t="s">
        <v>8941</v>
      </c>
      <c r="C900" s="1" t="s">
        <v>74</v>
      </c>
      <c r="D900" s="1" t="s">
        <v>74</v>
      </c>
      <c r="E900" s="1" t="s">
        <v>74</v>
      </c>
      <c r="F900" s="1" t="s">
        <v>8942</v>
      </c>
      <c r="G900" s="1" t="s">
        <v>74</v>
      </c>
      <c r="H900" s="1" t="s">
        <v>74</v>
      </c>
      <c r="I900" s="1" t="s">
        <v>8943</v>
      </c>
      <c r="J900" s="1" t="s">
        <v>8944</v>
      </c>
      <c r="K900" s="1" t="s">
        <v>74</v>
      </c>
      <c r="L900" s="1" t="s">
        <v>74</v>
      </c>
      <c r="M900" s="1" t="s">
        <v>74</v>
      </c>
      <c r="N900" s="1" t="s">
        <v>74</v>
      </c>
      <c r="O900" s="1" t="s">
        <v>74</v>
      </c>
      <c r="P900" s="1" t="s">
        <v>74</v>
      </c>
      <c r="Q900" s="1" t="s">
        <v>74</v>
      </c>
      <c r="R900" s="1" t="s">
        <v>74</v>
      </c>
      <c r="S900" s="1" t="s">
        <v>74</v>
      </c>
      <c r="T900" s="1" t="s">
        <v>74</v>
      </c>
      <c r="U900" s="1" t="s">
        <v>74</v>
      </c>
      <c r="V900" s="1" t="s">
        <v>8945</v>
      </c>
      <c r="W900" s="1" t="s">
        <v>74</v>
      </c>
      <c r="X900" s="1" t="s">
        <v>74</v>
      </c>
      <c r="Y900" s="1" t="s">
        <v>74</v>
      </c>
      <c r="Z900" s="1" t="s">
        <v>74</v>
      </c>
      <c r="AA900" s="1" t="s">
        <v>8946</v>
      </c>
      <c r="AB900" s="1" t="s">
        <v>4543</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8947</v>
      </c>
      <c r="AP900" s="1" t="s">
        <v>8948</v>
      </c>
      <c r="AQ900" s="1" t="s">
        <v>74</v>
      </c>
      <c r="AR900" s="1" t="s">
        <v>74</v>
      </c>
      <c r="AS900" s="1" t="s">
        <v>74</v>
      </c>
      <c r="AT900" s="1" t="s">
        <v>2816</v>
      </c>
      <c r="AU900" s="1">
        <v>2025.0</v>
      </c>
      <c r="AV900" s="1" t="s">
        <v>74</v>
      </c>
      <c r="AW900" s="1" t="s">
        <v>74</v>
      </c>
      <c r="AX900" s="1" t="s">
        <v>74</v>
      </c>
      <c r="AY900" s="1" t="s">
        <v>74</v>
      </c>
      <c r="AZ900" s="1" t="s">
        <v>74</v>
      </c>
      <c r="BA900" s="1" t="s">
        <v>74</v>
      </c>
      <c r="BB900" s="1" t="s">
        <v>74</v>
      </c>
      <c r="BC900" s="1" t="s">
        <v>74</v>
      </c>
      <c r="BD900" s="1" t="s">
        <v>74</v>
      </c>
      <c r="BE900" s="1" t="s">
        <v>8949</v>
      </c>
      <c r="BF900" s="2" t="str">
        <f>HYPERLINK("http://dx.doi.org/10.1080/13588265.2025.2469982","http://dx.doi.org/10.1080/13588265.2025.2469982")</f>
        <v>http://dx.doi.org/10.1080/13588265.2025.2469982</v>
      </c>
      <c r="BG900" s="1" t="s">
        <v>74</v>
      </c>
      <c r="BH900" s="1" t="s">
        <v>2262</v>
      </c>
      <c r="BI900" s="1" t="s">
        <v>74</v>
      </c>
      <c r="BJ900" s="1" t="s">
        <v>74</v>
      </c>
      <c r="BK900" s="1" t="s">
        <v>74</v>
      </c>
      <c r="BL900" s="1" t="s">
        <v>74</v>
      </c>
      <c r="BM900" s="1" t="s">
        <v>74</v>
      </c>
      <c r="BN900" s="1" t="s">
        <v>74</v>
      </c>
      <c r="BO900" s="1" t="s">
        <v>74</v>
      </c>
      <c r="BP900" s="1" t="s">
        <v>74</v>
      </c>
      <c r="BQ900" s="1" t="s">
        <v>74</v>
      </c>
      <c r="BR900" s="1" t="s">
        <v>74</v>
      </c>
      <c r="BS900" s="1" t="s">
        <v>8950</v>
      </c>
      <c r="BT900" s="1" t="str">
        <f>HYPERLINK("https%3A%2F%2Fwww.webofscience.com%2Fwos%2Fwoscc%2Ffull-record%2FWOS:001436670100001","View Full Record in Web of Science")</f>
        <v>View Full Record in Web of Science</v>
      </c>
    </row>
    <row r="901" ht="12.75" customHeight="1">
      <c r="A901" s="1" t="s">
        <v>72</v>
      </c>
      <c r="B901" s="1" t="s">
        <v>8951</v>
      </c>
      <c r="C901" s="1" t="s">
        <v>74</v>
      </c>
      <c r="D901" s="1" t="s">
        <v>74</v>
      </c>
      <c r="E901" s="1" t="s">
        <v>74</v>
      </c>
      <c r="F901" s="1" t="s">
        <v>8952</v>
      </c>
      <c r="G901" s="1" t="s">
        <v>74</v>
      </c>
      <c r="H901" s="1" t="s">
        <v>74</v>
      </c>
      <c r="I901" s="1" t="s">
        <v>8953</v>
      </c>
      <c r="J901" s="1" t="s">
        <v>5897</v>
      </c>
      <c r="K901" s="1" t="s">
        <v>74</v>
      </c>
      <c r="L901" s="1" t="s">
        <v>74</v>
      </c>
      <c r="M901" s="1" t="s">
        <v>74</v>
      </c>
      <c r="N901" s="1" t="s">
        <v>74</v>
      </c>
      <c r="O901" s="1" t="s">
        <v>74</v>
      </c>
      <c r="P901" s="1" t="s">
        <v>74</v>
      </c>
      <c r="Q901" s="1" t="s">
        <v>74</v>
      </c>
      <c r="R901" s="1" t="s">
        <v>74</v>
      </c>
      <c r="S901" s="1" t="s">
        <v>74</v>
      </c>
      <c r="T901" s="1" t="s">
        <v>74</v>
      </c>
      <c r="U901" s="1" t="s">
        <v>74</v>
      </c>
      <c r="V901" s="1" t="s">
        <v>8954</v>
      </c>
      <c r="W901" s="1" t="s">
        <v>74</v>
      </c>
      <c r="X901" s="1" t="s">
        <v>74</v>
      </c>
      <c r="Y901" s="1" t="s">
        <v>74</v>
      </c>
      <c r="Z901" s="1" t="s">
        <v>74</v>
      </c>
      <c r="AA901" s="1" t="s">
        <v>8955</v>
      </c>
      <c r="AB901" s="1" t="s">
        <v>8956</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5901</v>
      </c>
      <c r="AP901" s="1" t="s">
        <v>5902</v>
      </c>
      <c r="AQ901" s="1" t="s">
        <v>74</v>
      </c>
      <c r="AR901" s="1" t="s">
        <v>74</v>
      </c>
      <c r="AS901" s="1" t="s">
        <v>74</v>
      </c>
      <c r="AT901" s="1" t="s">
        <v>1853</v>
      </c>
      <c r="AU901" s="1">
        <v>2025.0</v>
      </c>
      <c r="AV901" s="1">
        <v>700.0</v>
      </c>
      <c r="AW901" s="1" t="s">
        <v>74</v>
      </c>
      <c r="AX901" s="1" t="s">
        <v>74</v>
      </c>
      <c r="AY901" s="1" t="s">
        <v>74</v>
      </c>
      <c r="AZ901" s="1" t="s">
        <v>74</v>
      </c>
      <c r="BA901" s="1" t="s">
        <v>74</v>
      </c>
      <c r="BB901" s="1" t="s">
        <v>74</v>
      </c>
      <c r="BC901" s="1" t="s">
        <v>74</v>
      </c>
      <c r="BD901" s="1">
        <v>416902.0</v>
      </c>
      <c r="BE901" s="1" t="s">
        <v>8957</v>
      </c>
      <c r="BF901" s="2" t="str">
        <f>HYPERLINK("http://dx.doi.org/10.1016/j.physb.2025.416902","http://dx.doi.org/10.1016/j.physb.2025.416902")</f>
        <v>http://dx.doi.org/10.1016/j.physb.2025.416902</v>
      </c>
      <c r="BG901" s="1" t="s">
        <v>74</v>
      </c>
      <c r="BH901" s="1" t="s">
        <v>2726</v>
      </c>
      <c r="BI901" s="1" t="s">
        <v>74</v>
      </c>
      <c r="BJ901" s="1" t="s">
        <v>74</v>
      </c>
      <c r="BK901" s="1" t="s">
        <v>74</v>
      </c>
      <c r="BL901" s="1" t="s">
        <v>74</v>
      </c>
      <c r="BM901" s="1" t="s">
        <v>74</v>
      </c>
      <c r="BN901" s="1" t="s">
        <v>74</v>
      </c>
      <c r="BO901" s="1" t="s">
        <v>74</v>
      </c>
      <c r="BP901" s="1" t="s">
        <v>74</v>
      </c>
      <c r="BQ901" s="1" t="s">
        <v>74</v>
      </c>
      <c r="BR901" s="1" t="s">
        <v>74</v>
      </c>
      <c r="BS901" s="1" t="s">
        <v>8958</v>
      </c>
      <c r="BT901" s="1" t="str">
        <f>HYPERLINK("https%3A%2F%2Fwww.webofscience.com%2Fwos%2Fwoscc%2Ffull-record%2FWOS:001409860000001","View Full Record in Web of Science")</f>
        <v>View Full Record in Web of Science</v>
      </c>
    </row>
    <row r="902" ht="12.75" customHeight="1">
      <c r="A902" s="1" t="s">
        <v>72</v>
      </c>
      <c r="B902" s="1" t="s">
        <v>8959</v>
      </c>
      <c r="C902" s="1" t="s">
        <v>74</v>
      </c>
      <c r="D902" s="1" t="s">
        <v>74</v>
      </c>
      <c r="E902" s="1" t="s">
        <v>74</v>
      </c>
      <c r="F902" s="1" t="s">
        <v>8960</v>
      </c>
      <c r="G902" s="1" t="s">
        <v>74</v>
      </c>
      <c r="H902" s="1" t="s">
        <v>74</v>
      </c>
      <c r="I902" s="1" t="s">
        <v>8961</v>
      </c>
      <c r="J902" s="1" t="s">
        <v>1872</v>
      </c>
      <c r="K902" s="1" t="s">
        <v>74</v>
      </c>
      <c r="L902" s="1" t="s">
        <v>74</v>
      </c>
      <c r="M902" s="1" t="s">
        <v>74</v>
      </c>
      <c r="N902" s="1" t="s">
        <v>74</v>
      </c>
      <c r="O902" s="1" t="s">
        <v>74</v>
      </c>
      <c r="P902" s="1" t="s">
        <v>74</v>
      </c>
      <c r="Q902" s="1" t="s">
        <v>74</v>
      </c>
      <c r="R902" s="1" t="s">
        <v>74</v>
      </c>
      <c r="S902" s="1" t="s">
        <v>74</v>
      </c>
      <c r="T902" s="1" t="s">
        <v>74</v>
      </c>
      <c r="U902" s="1" t="s">
        <v>74</v>
      </c>
      <c r="V902" s="1" t="s">
        <v>8962</v>
      </c>
      <c r="W902" s="1" t="s">
        <v>74</v>
      </c>
      <c r="X902" s="1" t="s">
        <v>74</v>
      </c>
      <c r="Y902" s="1" t="s">
        <v>74</v>
      </c>
      <c r="Z902" s="1" t="s">
        <v>74</v>
      </c>
      <c r="AA902" s="1" t="s">
        <v>8963</v>
      </c>
      <c r="AB902" s="1" t="s">
        <v>8964</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1875</v>
      </c>
      <c r="AP902" s="1" t="s">
        <v>1876</v>
      </c>
      <c r="AQ902" s="1" t="s">
        <v>74</v>
      </c>
      <c r="AR902" s="1" t="s">
        <v>74</v>
      </c>
      <c r="AS902" s="1" t="s">
        <v>74</v>
      </c>
      <c r="AT902" s="1" t="s">
        <v>8965</v>
      </c>
      <c r="AU902" s="1">
        <v>2024.0</v>
      </c>
      <c r="AV902" s="1" t="s">
        <v>74</v>
      </c>
      <c r="AW902" s="1" t="s">
        <v>74</v>
      </c>
      <c r="AX902" s="1" t="s">
        <v>74</v>
      </c>
      <c r="AY902" s="1" t="s">
        <v>74</v>
      </c>
      <c r="AZ902" s="1" t="s">
        <v>74</v>
      </c>
      <c r="BA902" s="1" t="s">
        <v>74</v>
      </c>
      <c r="BB902" s="1" t="s">
        <v>74</v>
      </c>
      <c r="BC902" s="1" t="s">
        <v>74</v>
      </c>
      <c r="BD902" s="1" t="s">
        <v>74</v>
      </c>
      <c r="BE902" s="1" t="s">
        <v>8966</v>
      </c>
      <c r="BF902" s="2" t="str">
        <f>HYPERLINK("http://dx.doi.org/10.1136/bjsports-2024-108460","http://dx.doi.org/10.1136/bjsports-2024-108460")</f>
        <v>http://dx.doi.org/10.1136/bjsports-2024-108460</v>
      </c>
      <c r="BG902" s="1" t="s">
        <v>74</v>
      </c>
      <c r="BH902" s="1" t="s">
        <v>6034</v>
      </c>
      <c r="BI902" s="1" t="s">
        <v>74</v>
      </c>
      <c r="BJ902" s="1" t="s">
        <v>74</v>
      </c>
      <c r="BK902" s="1" t="s">
        <v>74</v>
      </c>
      <c r="BL902" s="1" t="s">
        <v>74</v>
      </c>
      <c r="BM902" s="1" t="s">
        <v>74</v>
      </c>
      <c r="BN902" s="1">
        <v>3.9472031E7</v>
      </c>
      <c r="BO902" s="1" t="s">
        <v>74</v>
      </c>
      <c r="BP902" s="1" t="s">
        <v>74</v>
      </c>
      <c r="BQ902" s="1" t="s">
        <v>74</v>
      </c>
      <c r="BR902" s="1" t="s">
        <v>74</v>
      </c>
      <c r="BS902" s="1" t="s">
        <v>8967</v>
      </c>
      <c r="BT902" s="1" t="str">
        <f>HYPERLINK("https%3A%2F%2Fwww.webofscience.com%2Fwos%2Fwoscc%2Ffull-record%2FWOS:001352352500001","View Full Record in Web of Science")</f>
        <v>View Full Record in Web of Science</v>
      </c>
    </row>
    <row r="903" ht="12.75" customHeight="1">
      <c r="A903" s="1" t="s">
        <v>72</v>
      </c>
      <c r="B903" s="1" t="s">
        <v>8968</v>
      </c>
      <c r="C903" s="1" t="s">
        <v>74</v>
      </c>
      <c r="D903" s="1" t="s">
        <v>74</v>
      </c>
      <c r="E903" s="1" t="s">
        <v>74</v>
      </c>
      <c r="F903" s="1" t="s">
        <v>8969</v>
      </c>
      <c r="G903" s="1" t="s">
        <v>74</v>
      </c>
      <c r="H903" s="1" t="s">
        <v>74</v>
      </c>
      <c r="I903" s="1" t="s">
        <v>8970</v>
      </c>
      <c r="J903" s="1" t="s">
        <v>8971</v>
      </c>
      <c r="K903" s="1" t="s">
        <v>74</v>
      </c>
      <c r="L903" s="1" t="s">
        <v>74</v>
      </c>
      <c r="M903" s="1" t="s">
        <v>74</v>
      </c>
      <c r="N903" s="1" t="s">
        <v>74</v>
      </c>
      <c r="O903" s="1" t="s">
        <v>74</v>
      </c>
      <c r="P903" s="1" t="s">
        <v>74</v>
      </c>
      <c r="Q903" s="1" t="s">
        <v>74</v>
      </c>
      <c r="R903" s="1" t="s">
        <v>74</v>
      </c>
      <c r="S903" s="1" t="s">
        <v>74</v>
      </c>
      <c r="T903" s="1" t="s">
        <v>74</v>
      </c>
      <c r="U903" s="1" t="s">
        <v>74</v>
      </c>
      <c r="V903" s="1" t="s">
        <v>8972</v>
      </c>
      <c r="W903" s="1" t="s">
        <v>74</v>
      </c>
      <c r="X903" s="1" t="s">
        <v>74</v>
      </c>
      <c r="Y903" s="1" t="s">
        <v>74</v>
      </c>
      <c r="Z903" s="1" t="s">
        <v>74</v>
      </c>
      <c r="AA903" s="1" t="s">
        <v>8973</v>
      </c>
      <c r="AB903" s="1" t="s">
        <v>8974</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74</v>
      </c>
      <c r="AP903" s="1" t="s">
        <v>8975</v>
      </c>
      <c r="AQ903" s="1" t="s">
        <v>74</v>
      </c>
      <c r="AR903" s="1" t="s">
        <v>74</v>
      </c>
      <c r="AS903" s="1" t="s">
        <v>74</v>
      </c>
      <c r="AT903" s="1" t="s">
        <v>755</v>
      </c>
      <c r="AU903" s="1">
        <v>2018.0</v>
      </c>
      <c r="AV903" s="1">
        <v>19.0</v>
      </c>
      <c r="AW903" s="1" t="s">
        <v>74</v>
      </c>
      <c r="AX903" s="1" t="s">
        <v>74</v>
      </c>
      <c r="AY903" s="1" t="s">
        <v>74</v>
      </c>
      <c r="AZ903" s="1" t="s">
        <v>74</v>
      </c>
      <c r="BA903" s="1" t="s">
        <v>74</v>
      </c>
      <c r="BB903" s="1" t="s">
        <v>74</v>
      </c>
      <c r="BC903" s="1" t="s">
        <v>74</v>
      </c>
      <c r="BD903" s="1">
        <v>330.0</v>
      </c>
      <c r="BE903" s="1" t="s">
        <v>8976</v>
      </c>
      <c r="BF903" s="2" t="str">
        <f>HYPERLINK("http://dx.doi.org/10.1186/s13063-018-2721-5","http://dx.doi.org/10.1186/s13063-018-2721-5")</f>
        <v>http://dx.doi.org/10.1186/s13063-018-2721-5</v>
      </c>
      <c r="BG903" s="1" t="s">
        <v>74</v>
      </c>
      <c r="BH903" s="1" t="s">
        <v>74</v>
      </c>
      <c r="BI903" s="1" t="s">
        <v>74</v>
      </c>
      <c r="BJ903" s="1" t="s">
        <v>74</v>
      </c>
      <c r="BK903" s="1" t="s">
        <v>74</v>
      </c>
      <c r="BL903" s="1" t="s">
        <v>74</v>
      </c>
      <c r="BM903" s="1" t="s">
        <v>74</v>
      </c>
      <c r="BN903" s="1">
        <v>2.9941024E7</v>
      </c>
      <c r="BO903" s="1" t="s">
        <v>74</v>
      </c>
      <c r="BP903" s="1" t="s">
        <v>74</v>
      </c>
      <c r="BQ903" s="1" t="s">
        <v>74</v>
      </c>
      <c r="BR903" s="1" t="s">
        <v>74</v>
      </c>
      <c r="BS903" s="1" t="s">
        <v>8977</v>
      </c>
      <c r="BT903" s="1" t="str">
        <f>HYPERLINK("https%3A%2F%2Fwww.webofscience.com%2Fwos%2Fwoscc%2Ffull-record%2FWOS:000436818800003","View Full Record in Web of Science")</f>
        <v>View Full Record in Web of Science</v>
      </c>
    </row>
    <row r="904" ht="12.75" customHeight="1">
      <c r="A904" s="1" t="s">
        <v>72</v>
      </c>
      <c r="B904" s="1" t="s">
        <v>8978</v>
      </c>
      <c r="C904" s="1" t="s">
        <v>74</v>
      </c>
      <c r="D904" s="1" t="s">
        <v>74</v>
      </c>
      <c r="E904" s="1" t="s">
        <v>74</v>
      </c>
      <c r="F904" s="1" t="s">
        <v>8979</v>
      </c>
      <c r="G904" s="1" t="s">
        <v>74</v>
      </c>
      <c r="H904" s="1" t="s">
        <v>74</v>
      </c>
      <c r="I904" s="1" t="s">
        <v>8980</v>
      </c>
      <c r="J904" s="1" t="s">
        <v>8981</v>
      </c>
      <c r="K904" s="1" t="s">
        <v>74</v>
      </c>
      <c r="L904" s="1" t="s">
        <v>74</v>
      </c>
      <c r="M904" s="1" t="s">
        <v>74</v>
      </c>
      <c r="N904" s="1" t="s">
        <v>74</v>
      </c>
      <c r="O904" s="1" t="s">
        <v>74</v>
      </c>
      <c r="P904" s="1" t="s">
        <v>74</v>
      </c>
      <c r="Q904" s="1" t="s">
        <v>74</v>
      </c>
      <c r="R904" s="1" t="s">
        <v>74</v>
      </c>
      <c r="S904" s="1" t="s">
        <v>74</v>
      </c>
      <c r="T904" s="1" t="s">
        <v>74</v>
      </c>
      <c r="U904" s="1" t="s">
        <v>74</v>
      </c>
      <c r="V904" s="1" t="s">
        <v>8982</v>
      </c>
      <c r="W904" s="1" t="s">
        <v>74</v>
      </c>
      <c r="X904" s="1" t="s">
        <v>74</v>
      </c>
      <c r="Y904" s="1" t="s">
        <v>74</v>
      </c>
      <c r="Z904" s="1" t="s">
        <v>74</v>
      </c>
      <c r="AA904" s="1" t="s">
        <v>8983</v>
      </c>
      <c r="AB904" s="1" t="s">
        <v>8984</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8985</v>
      </c>
      <c r="AP904" s="1" t="s">
        <v>8986</v>
      </c>
      <c r="AQ904" s="1" t="s">
        <v>74</v>
      </c>
      <c r="AR904" s="1" t="s">
        <v>74</v>
      </c>
      <c r="AS904" s="1" t="s">
        <v>74</v>
      </c>
      <c r="AT904" s="1" t="s">
        <v>8987</v>
      </c>
      <c r="AU904" s="1">
        <v>2024.0</v>
      </c>
      <c r="AV904" s="1" t="s">
        <v>74</v>
      </c>
      <c r="AW904" s="1" t="s">
        <v>74</v>
      </c>
      <c r="AX904" s="1" t="s">
        <v>74</v>
      </c>
      <c r="AY904" s="1" t="s">
        <v>74</v>
      </c>
      <c r="AZ904" s="1" t="s">
        <v>74</v>
      </c>
      <c r="BA904" s="1" t="s">
        <v>74</v>
      </c>
      <c r="BB904" s="1" t="s">
        <v>74</v>
      </c>
      <c r="BC904" s="1" t="s">
        <v>74</v>
      </c>
      <c r="BD904" s="1" t="s">
        <v>74</v>
      </c>
      <c r="BE904" s="1" t="s">
        <v>8988</v>
      </c>
      <c r="BF904" s="2" t="str">
        <f>HYPERLINK("http://dx.doi.org/10.1080/13854046.2024.2417844","http://dx.doi.org/10.1080/13854046.2024.2417844")</f>
        <v>http://dx.doi.org/10.1080/13854046.2024.2417844</v>
      </c>
      <c r="BG904" s="1" t="s">
        <v>74</v>
      </c>
      <c r="BH904" s="1" t="s">
        <v>6034</v>
      </c>
      <c r="BI904" s="1" t="s">
        <v>74</v>
      </c>
      <c r="BJ904" s="1" t="s">
        <v>74</v>
      </c>
      <c r="BK904" s="1" t="s">
        <v>74</v>
      </c>
      <c r="BL904" s="1" t="s">
        <v>74</v>
      </c>
      <c r="BM904" s="1" t="s">
        <v>74</v>
      </c>
      <c r="BN904" s="1">
        <v>3.8362897E7</v>
      </c>
      <c r="BO904" s="1" t="s">
        <v>74</v>
      </c>
      <c r="BP904" s="1" t="s">
        <v>74</v>
      </c>
      <c r="BQ904" s="1" t="s">
        <v>74</v>
      </c>
      <c r="BR904" s="1" t="s">
        <v>74</v>
      </c>
      <c r="BS904" s="1" t="s">
        <v>8989</v>
      </c>
      <c r="BT904" s="1" t="str">
        <f>HYPERLINK("https%3A%2F%2Fwww.webofscience.com%2Fwos%2Fwoscc%2Ffull-record%2FWOS:001340606100001","View Full Record in Web of Science")</f>
        <v>View Full Record in Web of Science</v>
      </c>
    </row>
    <row r="905" ht="12.75" customHeight="1">
      <c r="A905" s="1" t="s">
        <v>72</v>
      </c>
      <c r="B905" s="1" t="s">
        <v>8990</v>
      </c>
      <c r="C905" s="1" t="s">
        <v>74</v>
      </c>
      <c r="D905" s="1" t="s">
        <v>74</v>
      </c>
      <c r="E905" s="1" t="s">
        <v>74</v>
      </c>
      <c r="F905" s="1" t="s">
        <v>8991</v>
      </c>
      <c r="G905" s="1" t="s">
        <v>74</v>
      </c>
      <c r="H905" s="1" t="s">
        <v>74</v>
      </c>
      <c r="I905" s="1" t="s">
        <v>8992</v>
      </c>
      <c r="J905" s="1" t="s">
        <v>6628</v>
      </c>
      <c r="K905" s="1" t="s">
        <v>74</v>
      </c>
      <c r="L905" s="1" t="s">
        <v>74</v>
      </c>
      <c r="M905" s="1" t="s">
        <v>74</v>
      </c>
      <c r="N905" s="1" t="s">
        <v>74</v>
      </c>
      <c r="O905" s="1" t="s">
        <v>74</v>
      </c>
      <c r="P905" s="1" t="s">
        <v>74</v>
      </c>
      <c r="Q905" s="1" t="s">
        <v>74</v>
      </c>
      <c r="R905" s="1" t="s">
        <v>74</v>
      </c>
      <c r="S905" s="1" t="s">
        <v>74</v>
      </c>
      <c r="T905" s="1" t="s">
        <v>74</v>
      </c>
      <c r="U905" s="1" t="s">
        <v>74</v>
      </c>
      <c r="V905" s="1" t="s">
        <v>8993</v>
      </c>
      <c r="W905" s="1" t="s">
        <v>74</v>
      </c>
      <c r="X905" s="1" t="s">
        <v>74</v>
      </c>
      <c r="Y905" s="1" t="s">
        <v>74</v>
      </c>
      <c r="Z905" s="1" t="s">
        <v>74</v>
      </c>
      <c r="AA905" s="1" t="s">
        <v>8994</v>
      </c>
      <c r="AB905" s="1" t="s">
        <v>8995</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6632</v>
      </c>
      <c r="AP905" s="1" t="s">
        <v>6633</v>
      </c>
      <c r="AQ905" s="1" t="s">
        <v>74</v>
      </c>
      <c r="AR905" s="1" t="s">
        <v>74</v>
      </c>
      <c r="AS905" s="1" t="s">
        <v>74</v>
      </c>
      <c r="AT905" s="1" t="s">
        <v>141</v>
      </c>
      <c r="AU905" s="1">
        <v>2020.0</v>
      </c>
      <c r="AV905" s="1">
        <v>900.0</v>
      </c>
      <c r="AW905" s="1">
        <v>2.0</v>
      </c>
      <c r="AX905" s="1" t="s">
        <v>74</v>
      </c>
      <c r="AY905" s="1" t="s">
        <v>74</v>
      </c>
      <c r="AZ905" s="1" t="s">
        <v>74</v>
      </c>
      <c r="BA905" s="1" t="s">
        <v>74</v>
      </c>
      <c r="BB905" s="1" t="s">
        <v>74</v>
      </c>
      <c r="BC905" s="1" t="s">
        <v>74</v>
      </c>
      <c r="BD905" s="1" t="s">
        <v>8996</v>
      </c>
      <c r="BE905" s="1" t="s">
        <v>8997</v>
      </c>
      <c r="BF905" s="2" t="str">
        <f>HYPERLINK("http://dx.doi.org/10.3847/2041-8213/abaf56","http://dx.doi.org/10.3847/2041-8213/abaf56")</f>
        <v>http://dx.doi.org/10.3847/2041-8213/abaf56</v>
      </c>
      <c r="BG905" s="1" t="s">
        <v>74</v>
      </c>
      <c r="BH905" s="1" t="s">
        <v>74</v>
      </c>
      <c r="BI905" s="1" t="s">
        <v>74</v>
      </c>
      <c r="BJ905" s="1" t="s">
        <v>74</v>
      </c>
      <c r="BK905" s="1" t="s">
        <v>74</v>
      </c>
      <c r="BL905" s="1" t="s">
        <v>74</v>
      </c>
      <c r="BM905" s="1" t="s">
        <v>74</v>
      </c>
      <c r="BN905" s="1" t="s">
        <v>74</v>
      </c>
      <c r="BO905" s="1" t="s">
        <v>74</v>
      </c>
      <c r="BP905" s="1" t="s">
        <v>74</v>
      </c>
      <c r="BQ905" s="1" t="s">
        <v>74</v>
      </c>
      <c r="BR905" s="1" t="s">
        <v>74</v>
      </c>
      <c r="BS905" s="1" t="s">
        <v>8998</v>
      </c>
      <c r="BT905" s="1" t="str">
        <f>HYPERLINK("https%3A%2F%2Fwww.webofscience.com%2Fwos%2Fwoscc%2Ffull-record%2FWOS:000569604100001","View Full Record in Web of Science")</f>
        <v>View Full Record in Web of Science</v>
      </c>
    </row>
    <row r="906" ht="12.75" customHeight="1">
      <c r="A906" s="1" t="s">
        <v>72</v>
      </c>
      <c r="B906" s="1" t="s">
        <v>8999</v>
      </c>
      <c r="C906" s="1" t="s">
        <v>74</v>
      </c>
      <c r="D906" s="1" t="s">
        <v>74</v>
      </c>
      <c r="E906" s="1" t="s">
        <v>74</v>
      </c>
      <c r="F906" s="1" t="s">
        <v>9000</v>
      </c>
      <c r="G906" s="1" t="s">
        <v>74</v>
      </c>
      <c r="H906" s="1" t="s">
        <v>74</v>
      </c>
      <c r="I906" s="1" t="s">
        <v>9001</v>
      </c>
      <c r="J906" s="1" t="s">
        <v>8019</v>
      </c>
      <c r="K906" s="1" t="s">
        <v>74</v>
      </c>
      <c r="L906" s="1" t="s">
        <v>74</v>
      </c>
      <c r="M906" s="1" t="s">
        <v>74</v>
      </c>
      <c r="N906" s="1" t="s">
        <v>74</v>
      </c>
      <c r="O906" s="1" t="s">
        <v>74</v>
      </c>
      <c r="P906" s="1" t="s">
        <v>74</v>
      </c>
      <c r="Q906" s="1" t="s">
        <v>74</v>
      </c>
      <c r="R906" s="1" t="s">
        <v>74</v>
      </c>
      <c r="S906" s="1" t="s">
        <v>74</v>
      </c>
      <c r="T906" s="1" t="s">
        <v>74</v>
      </c>
      <c r="U906" s="1" t="s">
        <v>74</v>
      </c>
      <c r="V906" s="1" t="s">
        <v>9002</v>
      </c>
      <c r="W906" s="1" t="s">
        <v>74</v>
      </c>
      <c r="X906" s="1" t="s">
        <v>74</v>
      </c>
      <c r="Y906" s="1" t="s">
        <v>74</v>
      </c>
      <c r="Z906" s="1" t="s">
        <v>74</v>
      </c>
      <c r="AA906" s="1" t="s">
        <v>9003</v>
      </c>
      <c r="AB906" s="1" t="s">
        <v>9004</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74</v>
      </c>
      <c r="AP906" s="1" t="s">
        <v>8023</v>
      </c>
      <c r="AQ906" s="1" t="s">
        <v>74</v>
      </c>
      <c r="AR906" s="1" t="s">
        <v>74</v>
      </c>
      <c r="AS906" s="1" t="s">
        <v>74</v>
      </c>
      <c r="AT906" s="1" t="s">
        <v>8032</v>
      </c>
      <c r="AU906" s="1">
        <v>2021.0</v>
      </c>
      <c r="AV906" s="1">
        <v>18.0</v>
      </c>
      <c r="AW906" s="1">
        <v>1.0</v>
      </c>
      <c r="AX906" s="1" t="s">
        <v>74</v>
      </c>
      <c r="AY906" s="1" t="s">
        <v>74</v>
      </c>
      <c r="AZ906" s="1" t="s">
        <v>74</v>
      </c>
      <c r="BA906" s="1" t="s">
        <v>74</v>
      </c>
      <c r="BB906" s="1" t="s">
        <v>74</v>
      </c>
      <c r="BC906" s="1" t="s">
        <v>74</v>
      </c>
      <c r="BD906" s="1">
        <v>69.0</v>
      </c>
      <c r="BE906" s="1" t="s">
        <v>9005</v>
      </c>
      <c r="BF906" s="2" t="str">
        <f>HYPERLINK("http://dx.doi.org/10.1186/s12966-021-01142-7","http://dx.doi.org/10.1186/s12966-021-01142-7")</f>
        <v>http://dx.doi.org/10.1186/s12966-021-01142-7</v>
      </c>
      <c r="BG906" s="1" t="s">
        <v>74</v>
      </c>
      <c r="BH906" s="1" t="s">
        <v>74</v>
      </c>
      <c r="BI906" s="1" t="s">
        <v>74</v>
      </c>
      <c r="BJ906" s="1" t="s">
        <v>74</v>
      </c>
      <c r="BK906" s="1" t="s">
        <v>74</v>
      </c>
      <c r="BL906" s="1" t="s">
        <v>74</v>
      </c>
      <c r="BM906" s="1" t="s">
        <v>74</v>
      </c>
      <c r="BN906" s="1">
        <v>3.4051796E7</v>
      </c>
      <c r="BO906" s="1" t="s">
        <v>74</v>
      </c>
      <c r="BP906" s="1" t="s">
        <v>74</v>
      </c>
      <c r="BQ906" s="1" t="s">
        <v>74</v>
      </c>
      <c r="BR906" s="1" t="s">
        <v>74</v>
      </c>
      <c r="BS906" s="1" t="s">
        <v>9006</v>
      </c>
      <c r="BT906" s="1" t="str">
        <f>HYPERLINK("https%3A%2F%2Fwww.webofscience.com%2Fwos%2Fwoscc%2Ffull-record%2FWOS:000655966700001","View Full Record in Web of Science")</f>
        <v>View Full Record in Web of Science</v>
      </c>
    </row>
    <row r="907" ht="12.75" customHeight="1">
      <c r="A907" s="1" t="s">
        <v>72</v>
      </c>
      <c r="B907" s="1" t="s">
        <v>9007</v>
      </c>
      <c r="C907" s="1" t="s">
        <v>74</v>
      </c>
      <c r="D907" s="1" t="s">
        <v>74</v>
      </c>
      <c r="E907" s="1" t="s">
        <v>74</v>
      </c>
      <c r="F907" s="1" t="s">
        <v>9008</v>
      </c>
      <c r="G907" s="1" t="s">
        <v>74</v>
      </c>
      <c r="H907" s="1" t="s">
        <v>74</v>
      </c>
      <c r="I907" s="1" t="s">
        <v>9009</v>
      </c>
      <c r="J907" s="1" t="s">
        <v>480</v>
      </c>
      <c r="K907" s="1" t="s">
        <v>74</v>
      </c>
      <c r="L907" s="1" t="s">
        <v>74</v>
      </c>
      <c r="M907" s="1" t="s">
        <v>74</v>
      </c>
      <c r="N907" s="1" t="s">
        <v>74</v>
      </c>
      <c r="O907" s="1" t="s">
        <v>74</v>
      </c>
      <c r="P907" s="1" t="s">
        <v>74</v>
      </c>
      <c r="Q907" s="1" t="s">
        <v>74</v>
      </c>
      <c r="R907" s="1" t="s">
        <v>74</v>
      </c>
      <c r="S907" s="1" t="s">
        <v>74</v>
      </c>
      <c r="T907" s="1" t="s">
        <v>74</v>
      </c>
      <c r="U907" s="1" t="s">
        <v>74</v>
      </c>
      <c r="V907" s="1" t="s">
        <v>9010</v>
      </c>
      <c r="W907" s="1" t="s">
        <v>74</v>
      </c>
      <c r="X907" s="1" t="s">
        <v>74</v>
      </c>
      <c r="Y907" s="1" t="s">
        <v>74</v>
      </c>
      <c r="Z907" s="1" t="s">
        <v>74</v>
      </c>
      <c r="AA907" s="1" t="s">
        <v>9011</v>
      </c>
      <c r="AB907" s="1" t="s">
        <v>9012</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484</v>
      </c>
      <c r="AP907" s="1" t="s">
        <v>74</v>
      </c>
      <c r="AQ907" s="1" t="s">
        <v>74</v>
      </c>
      <c r="AR907" s="1" t="s">
        <v>74</v>
      </c>
      <c r="AS907" s="1" t="s">
        <v>74</v>
      </c>
      <c r="AT907" s="1" t="s">
        <v>9013</v>
      </c>
      <c r="AU907" s="1">
        <v>2020.0</v>
      </c>
      <c r="AV907" s="1">
        <v>10.0</v>
      </c>
      <c r="AW907" s="1">
        <v>1.0</v>
      </c>
      <c r="AX907" s="1" t="s">
        <v>74</v>
      </c>
      <c r="AY907" s="1" t="s">
        <v>74</v>
      </c>
      <c r="AZ907" s="1" t="s">
        <v>74</v>
      </c>
      <c r="BA907" s="1" t="s">
        <v>74</v>
      </c>
      <c r="BB907" s="1" t="s">
        <v>74</v>
      </c>
      <c r="BC907" s="1" t="s">
        <v>74</v>
      </c>
      <c r="BD907" s="1">
        <v>5760.0</v>
      </c>
      <c r="BE907" s="1" t="s">
        <v>9014</v>
      </c>
      <c r="BF907" s="2" t="str">
        <f>HYPERLINK("http://dx.doi.org/10.1038/s41598-020-62622-7","http://dx.doi.org/10.1038/s41598-020-62622-7")</f>
        <v>http://dx.doi.org/10.1038/s41598-020-62622-7</v>
      </c>
      <c r="BG907" s="1" t="s">
        <v>74</v>
      </c>
      <c r="BH907" s="1" t="s">
        <v>74</v>
      </c>
      <c r="BI907" s="1" t="s">
        <v>74</v>
      </c>
      <c r="BJ907" s="1" t="s">
        <v>74</v>
      </c>
      <c r="BK907" s="1" t="s">
        <v>74</v>
      </c>
      <c r="BL907" s="1" t="s">
        <v>74</v>
      </c>
      <c r="BM907" s="1" t="s">
        <v>74</v>
      </c>
      <c r="BN907" s="1">
        <v>3.223884E7</v>
      </c>
      <c r="BO907" s="1" t="s">
        <v>74</v>
      </c>
      <c r="BP907" s="1" t="s">
        <v>74</v>
      </c>
      <c r="BQ907" s="1" t="s">
        <v>74</v>
      </c>
      <c r="BR907" s="1" t="s">
        <v>74</v>
      </c>
      <c r="BS907" s="1" t="s">
        <v>9015</v>
      </c>
      <c r="BT907" s="1" t="str">
        <f>HYPERLINK("https%3A%2F%2Fwww.webofscience.com%2Fwos%2Fwoscc%2Ffull-record%2FWOS:000563462200010","View Full Record in Web of Science")</f>
        <v>View Full Record in Web of Science</v>
      </c>
    </row>
    <row r="908" ht="12.75" customHeight="1">
      <c r="A908" s="1" t="s">
        <v>72</v>
      </c>
      <c r="B908" s="1" t="s">
        <v>9016</v>
      </c>
      <c r="C908" s="1" t="s">
        <v>74</v>
      </c>
      <c r="D908" s="1" t="s">
        <v>74</v>
      </c>
      <c r="E908" s="1" t="s">
        <v>74</v>
      </c>
      <c r="F908" s="1" t="s">
        <v>9017</v>
      </c>
      <c r="G908" s="1" t="s">
        <v>74</v>
      </c>
      <c r="H908" s="1" t="s">
        <v>74</v>
      </c>
      <c r="I908" s="1" t="s">
        <v>9018</v>
      </c>
      <c r="J908" s="1" t="s">
        <v>9019</v>
      </c>
      <c r="K908" s="1" t="s">
        <v>74</v>
      </c>
      <c r="L908" s="1" t="s">
        <v>74</v>
      </c>
      <c r="M908" s="1" t="s">
        <v>74</v>
      </c>
      <c r="N908" s="1" t="s">
        <v>74</v>
      </c>
      <c r="O908" s="1" t="s">
        <v>74</v>
      </c>
      <c r="P908" s="1" t="s">
        <v>74</v>
      </c>
      <c r="Q908" s="1" t="s">
        <v>74</v>
      </c>
      <c r="R908" s="1" t="s">
        <v>74</v>
      </c>
      <c r="S908" s="1" t="s">
        <v>74</v>
      </c>
      <c r="T908" s="1" t="s">
        <v>74</v>
      </c>
      <c r="U908" s="1" t="s">
        <v>74</v>
      </c>
      <c r="V908" s="1" t="s">
        <v>9020</v>
      </c>
      <c r="W908" s="1" t="s">
        <v>74</v>
      </c>
      <c r="X908" s="1" t="s">
        <v>74</v>
      </c>
      <c r="Y908" s="1" t="s">
        <v>74</v>
      </c>
      <c r="Z908" s="1" t="s">
        <v>74</v>
      </c>
      <c r="AA908" s="1" t="s">
        <v>9021</v>
      </c>
      <c r="AB908" s="1" t="s">
        <v>9022</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9023</v>
      </c>
      <c r="AP908" s="1" t="s">
        <v>74</v>
      </c>
      <c r="AQ908" s="1" t="s">
        <v>74</v>
      </c>
      <c r="AR908" s="1" t="s">
        <v>74</v>
      </c>
      <c r="AS908" s="1" t="s">
        <v>74</v>
      </c>
      <c r="AT908" s="1" t="s">
        <v>334</v>
      </c>
      <c r="AU908" s="1">
        <v>2022.0</v>
      </c>
      <c r="AV908" s="1">
        <v>49.0</v>
      </c>
      <c r="AW908" s="1" t="s">
        <v>74</v>
      </c>
      <c r="AX908" s="1" t="s">
        <v>74</v>
      </c>
      <c r="AY908" s="1" t="s">
        <v>74</v>
      </c>
      <c r="AZ908" s="1" t="s">
        <v>74</v>
      </c>
      <c r="BA908" s="1" t="s">
        <v>74</v>
      </c>
      <c r="BB908" s="1" t="s">
        <v>74</v>
      </c>
      <c r="BC908" s="1" t="s">
        <v>74</v>
      </c>
      <c r="BD908" s="1">
        <v>103077.0</v>
      </c>
      <c r="BE908" s="1" t="s">
        <v>9024</v>
      </c>
      <c r="BF908" s="2" t="str">
        <f>HYPERLINK("http://dx.doi.org/10.1016/j.jwpe.2022.103077","http://dx.doi.org/10.1016/j.jwpe.2022.103077")</f>
        <v>http://dx.doi.org/10.1016/j.jwpe.2022.103077</v>
      </c>
      <c r="BG908" s="1" t="s">
        <v>74</v>
      </c>
      <c r="BH908" s="1" t="s">
        <v>2291</v>
      </c>
      <c r="BI908" s="1" t="s">
        <v>74</v>
      </c>
      <c r="BJ908" s="1" t="s">
        <v>74</v>
      </c>
      <c r="BK908" s="1" t="s">
        <v>74</v>
      </c>
      <c r="BL908" s="1" t="s">
        <v>74</v>
      </c>
      <c r="BM908" s="1" t="s">
        <v>74</v>
      </c>
      <c r="BN908" s="1">
        <v>3.5990175E7</v>
      </c>
      <c r="BO908" s="1" t="s">
        <v>74</v>
      </c>
      <c r="BP908" s="1" t="s">
        <v>74</v>
      </c>
      <c r="BQ908" s="1" t="s">
        <v>74</v>
      </c>
      <c r="BR908" s="1" t="s">
        <v>74</v>
      </c>
      <c r="BS908" s="1" t="s">
        <v>9025</v>
      </c>
      <c r="BT908" s="1" t="str">
        <f>HYPERLINK("https%3A%2F%2Fwww.webofscience.com%2Fwos%2Fwoscc%2Ffull-record%2FWOS:000861356500010","View Full Record in Web of Science")</f>
        <v>View Full Record in Web of Science</v>
      </c>
    </row>
    <row r="909" ht="12.75" customHeight="1">
      <c r="A909" s="1" t="s">
        <v>72</v>
      </c>
      <c r="B909" s="1" t="s">
        <v>9026</v>
      </c>
      <c r="C909" s="1" t="s">
        <v>74</v>
      </c>
      <c r="D909" s="1" t="s">
        <v>74</v>
      </c>
      <c r="E909" s="1" t="s">
        <v>74</v>
      </c>
      <c r="F909" s="1" t="s">
        <v>9027</v>
      </c>
      <c r="G909" s="1" t="s">
        <v>74</v>
      </c>
      <c r="H909" s="1" t="s">
        <v>74</v>
      </c>
      <c r="I909" s="1" t="s">
        <v>9028</v>
      </c>
      <c r="J909" s="1" t="s">
        <v>259</v>
      </c>
      <c r="K909" s="1" t="s">
        <v>74</v>
      </c>
      <c r="L909" s="1" t="s">
        <v>74</v>
      </c>
      <c r="M909" s="1" t="s">
        <v>74</v>
      </c>
      <c r="N909" s="1" t="s">
        <v>74</v>
      </c>
      <c r="O909" s="1" t="s">
        <v>74</v>
      </c>
      <c r="P909" s="1" t="s">
        <v>74</v>
      </c>
      <c r="Q909" s="1" t="s">
        <v>74</v>
      </c>
      <c r="R909" s="1" t="s">
        <v>74</v>
      </c>
      <c r="S909" s="1" t="s">
        <v>74</v>
      </c>
      <c r="T909" s="1" t="s">
        <v>74</v>
      </c>
      <c r="U909" s="1" t="s">
        <v>74</v>
      </c>
      <c r="V909" s="1" t="s">
        <v>9029</v>
      </c>
      <c r="W909" s="1" t="s">
        <v>74</v>
      </c>
      <c r="X909" s="1" t="s">
        <v>74</v>
      </c>
      <c r="Y909" s="1" t="s">
        <v>74</v>
      </c>
      <c r="Z909" s="1" t="s">
        <v>74</v>
      </c>
      <c r="AA909" s="1" t="s">
        <v>9030</v>
      </c>
      <c r="AB909" s="1" t="s">
        <v>9031</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74</v>
      </c>
      <c r="AP909" s="1" t="s">
        <v>263</v>
      </c>
      <c r="AQ909" s="1" t="s">
        <v>74</v>
      </c>
      <c r="AR909" s="1" t="s">
        <v>74</v>
      </c>
      <c r="AS909" s="1" t="s">
        <v>74</v>
      </c>
      <c r="AT909" s="1" t="s">
        <v>239</v>
      </c>
      <c r="AU909" s="1">
        <v>2020.0</v>
      </c>
      <c r="AV909" s="1">
        <v>12.0</v>
      </c>
      <c r="AW909" s="1">
        <v>5.0</v>
      </c>
      <c r="AX909" s="1" t="s">
        <v>74</v>
      </c>
      <c r="AY909" s="1" t="s">
        <v>74</v>
      </c>
      <c r="AZ909" s="1" t="s">
        <v>74</v>
      </c>
      <c r="BA909" s="1" t="s">
        <v>74</v>
      </c>
      <c r="BB909" s="1" t="s">
        <v>74</v>
      </c>
      <c r="BC909" s="1" t="s">
        <v>74</v>
      </c>
      <c r="BD909" s="1">
        <v>1461.0</v>
      </c>
      <c r="BE909" s="1" t="s">
        <v>9032</v>
      </c>
      <c r="BF909" s="2" t="str">
        <f>HYPERLINK("http://dx.doi.org/10.3390/nu12051461","http://dx.doi.org/10.3390/nu12051461")</f>
        <v>http://dx.doi.org/10.3390/nu12051461</v>
      </c>
      <c r="BG909" s="1" t="s">
        <v>74</v>
      </c>
      <c r="BH909" s="1" t="s">
        <v>74</v>
      </c>
      <c r="BI909" s="1" t="s">
        <v>74</v>
      </c>
      <c r="BJ909" s="1" t="s">
        <v>74</v>
      </c>
      <c r="BK909" s="1" t="s">
        <v>74</v>
      </c>
      <c r="BL909" s="1" t="s">
        <v>74</v>
      </c>
      <c r="BM909" s="1" t="s">
        <v>74</v>
      </c>
      <c r="BN909" s="1">
        <v>3.2443557E7</v>
      </c>
      <c r="BO909" s="1" t="s">
        <v>74</v>
      </c>
      <c r="BP909" s="1" t="s">
        <v>74</v>
      </c>
      <c r="BQ909" s="1" t="s">
        <v>74</v>
      </c>
      <c r="BR909" s="1" t="s">
        <v>74</v>
      </c>
      <c r="BS909" s="1" t="s">
        <v>9033</v>
      </c>
      <c r="BT909" s="1" t="str">
        <f>HYPERLINK("https%3A%2F%2Fwww.webofscience.com%2Fwos%2Fwoscc%2Ffull-record%2FWOS:000542272700322","View Full Record in Web of Science")</f>
        <v>View Full Record in Web of Science</v>
      </c>
    </row>
    <row r="910" ht="12.75" customHeight="1">
      <c r="A910" s="1" t="s">
        <v>72</v>
      </c>
      <c r="B910" s="1" t="s">
        <v>9034</v>
      </c>
      <c r="C910" s="1" t="s">
        <v>74</v>
      </c>
      <c r="D910" s="1" t="s">
        <v>74</v>
      </c>
      <c r="E910" s="1" t="s">
        <v>74</v>
      </c>
      <c r="F910" s="1" t="s">
        <v>9035</v>
      </c>
      <c r="G910" s="1" t="s">
        <v>74</v>
      </c>
      <c r="H910" s="1" t="s">
        <v>74</v>
      </c>
      <c r="I910" s="1" t="s">
        <v>9036</v>
      </c>
      <c r="J910" s="1" t="s">
        <v>1441</v>
      </c>
      <c r="K910" s="1" t="s">
        <v>74</v>
      </c>
      <c r="L910" s="1" t="s">
        <v>74</v>
      </c>
      <c r="M910" s="1" t="s">
        <v>74</v>
      </c>
      <c r="N910" s="1" t="s">
        <v>74</v>
      </c>
      <c r="O910" s="1" t="s">
        <v>74</v>
      </c>
      <c r="P910" s="1" t="s">
        <v>74</v>
      </c>
      <c r="Q910" s="1" t="s">
        <v>74</v>
      </c>
      <c r="R910" s="1" t="s">
        <v>74</v>
      </c>
      <c r="S910" s="1" t="s">
        <v>74</v>
      </c>
      <c r="T910" s="1" t="s">
        <v>74</v>
      </c>
      <c r="U910" s="1" t="s">
        <v>74</v>
      </c>
      <c r="V910" s="1" t="s">
        <v>9037</v>
      </c>
      <c r="W910" s="1" t="s">
        <v>74</v>
      </c>
      <c r="X910" s="1" t="s">
        <v>74</v>
      </c>
      <c r="Y910" s="1" t="s">
        <v>74</v>
      </c>
      <c r="Z910" s="1" t="s">
        <v>74</v>
      </c>
      <c r="AA910" s="1" t="s">
        <v>9038</v>
      </c>
      <c r="AB910" s="1" t="s">
        <v>9039</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1445</v>
      </c>
      <c r="AP910" s="1" t="s">
        <v>1446</v>
      </c>
      <c r="AQ910" s="1" t="s">
        <v>74</v>
      </c>
      <c r="AR910" s="1" t="s">
        <v>74</v>
      </c>
      <c r="AS910" s="1" t="s">
        <v>74</v>
      </c>
      <c r="AT910" s="1" t="s">
        <v>2373</v>
      </c>
      <c r="AU910" s="1">
        <v>2023.0</v>
      </c>
      <c r="AV910" s="1">
        <v>952.0</v>
      </c>
      <c r="AW910" s="1">
        <v>2.0</v>
      </c>
      <c r="AX910" s="1" t="s">
        <v>74</v>
      </c>
      <c r="AY910" s="1" t="s">
        <v>74</v>
      </c>
      <c r="AZ910" s="1" t="s">
        <v>74</v>
      </c>
      <c r="BA910" s="1" t="s">
        <v>74</v>
      </c>
      <c r="BB910" s="1" t="s">
        <v>74</v>
      </c>
      <c r="BC910" s="1" t="s">
        <v>74</v>
      </c>
      <c r="BD910" s="1">
        <v>120.0</v>
      </c>
      <c r="BE910" s="1" t="s">
        <v>9040</v>
      </c>
      <c r="BF910" s="2" t="str">
        <f>HYPERLINK("http://dx.doi.org/10.3847/1538-4357/acd850","http://dx.doi.org/10.3847/1538-4357/acd850")</f>
        <v>http://dx.doi.org/10.3847/1538-4357/acd850</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9041</v>
      </c>
      <c r="BT910" s="1" t="str">
        <f>HYPERLINK("https%3A%2F%2Fwww.webofscience.com%2Fwos%2Fwoscc%2Ffull-record%2FWOS:001033394200001","View Full Record in Web of Science")</f>
        <v>View Full Record in Web of Science</v>
      </c>
    </row>
    <row r="911" ht="12.75" customHeight="1">
      <c r="A911" s="1" t="s">
        <v>72</v>
      </c>
      <c r="B911" s="1" t="s">
        <v>9042</v>
      </c>
      <c r="C911" s="1" t="s">
        <v>74</v>
      </c>
      <c r="D911" s="1" t="s">
        <v>74</v>
      </c>
      <c r="E911" s="1" t="s">
        <v>74</v>
      </c>
      <c r="F911" s="1" t="s">
        <v>9043</v>
      </c>
      <c r="G911" s="1" t="s">
        <v>74</v>
      </c>
      <c r="H911" s="1" t="s">
        <v>74</v>
      </c>
      <c r="I911" s="1" t="s">
        <v>9044</v>
      </c>
      <c r="J911" s="1" t="s">
        <v>480</v>
      </c>
      <c r="K911" s="1" t="s">
        <v>74</v>
      </c>
      <c r="L911" s="1" t="s">
        <v>74</v>
      </c>
      <c r="M911" s="1" t="s">
        <v>74</v>
      </c>
      <c r="N911" s="1" t="s">
        <v>74</v>
      </c>
      <c r="O911" s="1" t="s">
        <v>74</v>
      </c>
      <c r="P911" s="1" t="s">
        <v>74</v>
      </c>
      <c r="Q911" s="1" t="s">
        <v>74</v>
      </c>
      <c r="R911" s="1" t="s">
        <v>74</v>
      </c>
      <c r="S911" s="1" t="s">
        <v>74</v>
      </c>
      <c r="T911" s="1" t="s">
        <v>74</v>
      </c>
      <c r="U911" s="1" t="s">
        <v>74</v>
      </c>
      <c r="V911" s="1" t="s">
        <v>9045</v>
      </c>
      <c r="W911" s="1" t="s">
        <v>74</v>
      </c>
      <c r="X911" s="1" t="s">
        <v>74</v>
      </c>
      <c r="Y911" s="1" t="s">
        <v>74</v>
      </c>
      <c r="Z911" s="1" t="s">
        <v>74</v>
      </c>
      <c r="AA911" s="1" t="s">
        <v>9046</v>
      </c>
      <c r="AB911" s="1" t="s">
        <v>9047</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484</v>
      </c>
      <c r="AP911" s="1" t="s">
        <v>74</v>
      </c>
      <c r="AQ911" s="1" t="s">
        <v>74</v>
      </c>
      <c r="AR911" s="1" t="s">
        <v>74</v>
      </c>
      <c r="AS911" s="1" t="s">
        <v>74</v>
      </c>
      <c r="AT911" s="1" t="s">
        <v>7979</v>
      </c>
      <c r="AU911" s="1">
        <v>2022.0</v>
      </c>
      <c r="AV911" s="1">
        <v>12.0</v>
      </c>
      <c r="AW911" s="1">
        <v>1.0</v>
      </c>
      <c r="AX911" s="1" t="s">
        <v>74</v>
      </c>
      <c r="AY911" s="1" t="s">
        <v>74</v>
      </c>
      <c r="AZ911" s="1" t="s">
        <v>74</v>
      </c>
      <c r="BA911" s="1" t="s">
        <v>74</v>
      </c>
      <c r="BB911" s="1" t="s">
        <v>74</v>
      </c>
      <c r="BC911" s="1" t="s">
        <v>74</v>
      </c>
      <c r="BD911" s="1">
        <v>11820.0</v>
      </c>
      <c r="BE911" s="1" t="s">
        <v>9048</v>
      </c>
      <c r="BF911" s="2" t="str">
        <f>HYPERLINK("http://dx.doi.org/10.1038/s41598-022-15757-8","http://dx.doi.org/10.1038/s41598-022-15757-8")</f>
        <v>http://dx.doi.org/10.1038/s41598-022-15757-8</v>
      </c>
      <c r="BG911" s="1" t="s">
        <v>74</v>
      </c>
      <c r="BH911" s="1" t="s">
        <v>74</v>
      </c>
      <c r="BI911" s="1" t="s">
        <v>74</v>
      </c>
      <c r="BJ911" s="1" t="s">
        <v>74</v>
      </c>
      <c r="BK911" s="1" t="s">
        <v>74</v>
      </c>
      <c r="BL911" s="1" t="s">
        <v>74</v>
      </c>
      <c r="BM911" s="1" t="s">
        <v>74</v>
      </c>
      <c r="BN911" s="1">
        <v>3.5821249E7</v>
      </c>
      <c r="BO911" s="1" t="s">
        <v>74</v>
      </c>
      <c r="BP911" s="1" t="s">
        <v>74</v>
      </c>
      <c r="BQ911" s="1" t="s">
        <v>74</v>
      </c>
      <c r="BR911" s="1" t="s">
        <v>74</v>
      </c>
      <c r="BS911" s="1" t="s">
        <v>9049</v>
      </c>
      <c r="BT911" s="1" t="str">
        <f>HYPERLINK("https%3A%2F%2Fwww.webofscience.com%2Fwos%2Fwoscc%2Ffull-record%2FWOS:000824910400034","View Full Record in Web of Science")</f>
        <v>View Full Record in Web of Science</v>
      </c>
    </row>
    <row r="912" ht="12.75" customHeight="1">
      <c r="A912" s="1" t="s">
        <v>72</v>
      </c>
      <c r="B912" s="1" t="s">
        <v>9050</v>
      </c>
      <c r="C912" s="1" t="s">
        <v>74</v>
      </c>
      <c r="D912" s="1" t="s">
        <v>74</v>
      </c>
      <c r="E912" s="1" t="s">
        <v>74</v>
      </c>
      <c r="F912" s="1" t="s">
        <v>9051</v>
      </c>
      <c r="G912" s="1" t="s">
        <v>74</v>
      </c>
      <c r="H912" s="1" t="s">
        <v>74</v>
      </c>
      <c r="I912" s="1" t="s">
        <v>9052</v>
      </c>
      <c r="J912" s="1" t="s">
        <v>3217</v>
      </c>
      <c r="K912" s="1" t="s">
        <v>74</v>
      </c>
      <c r="L912" s="1" t="s">
        <v>74</v>
      </c>
      <c r="M912" s="1" t="s">
        <v>74</v>
      </c>
      <c r="N912" s="1" t="s">
        <v>74</v>
      </c>
      <c r="O912" s="1" t="s">
        <v>74</v>
      </c>
      <c r="P912" s="1" t="s">
        <v>74</v>
      </c>
      <c r="Q912" s="1" t="s">
        <v>74</v>
      </c>
      <c r="R912" s="1" t="s">
        <v>74</v>
      </c>
      <c r="S912" s="1" t="s">
        <v>74</v>
      </c>
      <c r="T912" s="1" t="s">
        <v>74</v>
      </c>
      <c r="U912" s="1" t="s">
        <v>74</v>
      </c>
      <c r="V912" s="1" t="s">
        <v>9053</v>
      </c>
      <c r="W912" s="1" t="s">
        <v>74</v>
      </c>
      <c r="X912" s="1" t="s">
        <v>74</v>
      </c>
      <c r="Y912" s="1" t="s">
        <v>74</v>
      </c>
      <c r="Z912" s="1" t="s">
        <v>74</v>
      </c>
      <c r="AA912" s="1" t="s">
        <v>9054</v>
      </c>
      <c r="AB912" s="1" t="s">
        <v>9055</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74</v>
      </c>
      <c r="AP912" s="1" t="s">
        <v>3221</v>
      </c>
      <c r="AQ912" s="1" t="s">
        <v>74</v>
      </c>
      <c r="AR912" s="1" t="s">
        <v>74</v>
      </c>
      <c r="AS912" s="1" t="s">
        <v>74</v>
      </c>
      <c r="AT912" s="1" t="s">
        <v>94</v>
      </c>
      <c r="AU912" s="1">
        <v>2021.0</v>
      </c>
      <c r="AV912" s="1">
        <v>13.0</v>
      </c>
      <c r="AW912" s="1">
        <v>23.0</v>
      </c>
      <c r="AX912" s="1" t="s">
        <v>74</v>
      </c>
      <c r="AY912" s="1" t="s">
        <v>74</v>
      </c>
      <c r="AZ912" s="1" t="s">
        <v>74</v>
      </c>
      <c r="BA912" s="1" t="s">
        <v>74</v>
      </c>
      <c r="BB912" s="1" t="s">
        <v>74</v>
      </c>
      <c r="BC912" s="1" t="s">
        <v>74</v>
      </c>
      <c r="BD912" s="1">
        <v>13370.0</v>
      </c>
      <c r="BE912" s="1" t="s">
        <v>9056</v>
      </c>
      <c r="BF912" s="2" t="str">
        <f>HYPERLINK("http://dx.doi.org/10.3390/su132313370","http://dx.doi.org/10.3390/su132313370")</f>
        <v>http://dx.doi.org/10.3390/su132313370</v>
      </c>
      <c r="BG912" s="1" t="s">
        <v>74</v>
      </c>
      <c r="BH912" s="1" t="s">
        <v>74</v>
      </c>
      <c r="BI912" s="1" t="s">
        <v>74</v>
      </c>
      <c r="BJ912" s="1" t="s">
        <v>74</v>
      </c>
      <c r="BK912" s="1" t="s">
        <v>74</v>
      </c>
      <c r="BL912" s="1" t="s">
        <v>74</v>
      </c>
      <c r="BM912" s="1" t="s">
        <v>74</v>
      </c>
      <c r="BN912" s="1" t="s">
        <v>74</v>
      </c>
      <c r="BO912" s="1" t="s">
        <v>74</v>
      </c>
      <c r="BP912" s="1" t="s">
        <v>74</v>
      </c>
      <c r="BQ912" s="1" t="s">
        <v>74</v>
      </c>
      <c r="BR912" s="1" t="s">
        <v>74</v>
      </c>
      <c r="BS912" s="1" t="s">
        <v>9057</v>
      </c>
      <c r="BT912" s="1" t="str">
        <f>HYPERLINK("https%3A%2F%2Fwww.webofscience.com%2Fwos%2Fwoscc%2Ffull-record%2FWOS:000734647600001","View Full Record in Web of Science")</f>
        <v>View Full Record in Web of Science</v>
      </c>
    </row>
    <row r="913" ht="12.75" customHeight="1">
      <c r="A913" s="1" t="s">
        <v>72</v>
      </c>
      <c r="B913" s="1" t="s">
        <v>9058</v>
      </c>
      <c r="C913" s="1" t="s">
        <v>74</v>
      </c>
      <c r="D913" s="1" t="s">
        <v>74</v>
      </c>
      <c r="E913" s="1" t="s">
        <v>74</v>
      </c>
      <c r="F913" s="1" t="s">
        <v>9059</v>
      </c>
      <c r="G913" s="1" t="s">
        <v>74</v>
      </c>
      <c r="H913" s="1" t="s">
        <v>74</v>
      </c>
      <c r="I913" s="1" t="s">
        <v>9060</v>
      </c>
      <c r="J913" s="1" t="s">
        <v>9061</v>
      </c>
      <c r="K913" s="1" t="s">
        <v>74</v>
      </c>
      <c r="L913" s="1" t="s">
        <v>74</v>
      </c>
      <c r="M913" s="1" t="s">
        <v>74</v>
      </c>
      <c r="N913" s="1" t="s">
        <v>74</v>
      </c>
      <c r="O913" s="1" t="s">
        <v>74</v>
      </c>
      <c r="P913" s="1" t="s">
        <v>74</v>
      </c>
      <c r="Q913" s="1" t="s">
        <v>74</v>
      </c>
      <c r="R913" s="1" t="s">
        <v>74</v>
      </c>
      <c r="S913" s="1" t="s">
        <v>74</v>
      </c>
      <c r="T913" s="1" t="s">
        <v>74</v>
      </c>
      <c r="U913" s="1" t="s">
        <v>74</v>
      </c>
      <c r="V913" s="1" t="s">
        <v>74</v>
      </c>
      <c r="W913" s="1" t="s">
        <v>74</v>
      </c>
      <c r="X913" s="1" t="s">
        <v>74</v>
      </c>
      <c r="Y913" s="1" t="s">
        <v>74</v>
      </c>
      <c r="Z913" s="1" t="s">
        <v>74</v>
      </c>
      <c r="AA913" s="1" t="s">
        <v>9062</v>
      </c>
      <c r="AB913" s="1" t="s">
        <v>9063</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9064</v>
      </c>
      <c r="AP913" s="1" t="s">
        <v>9065</v>
      </c>
      <c r="AQ913" s="1" t="s">
        <v>74</v>
      </c>
      <c r="AR913" s="1" t="s">
        <v>74</v>
      </c>
      <c r="AS913" s="1" t="s">
        <v>74</v>
      </c>
      <c r="AT913" s="1" t="s">
        <v>214</v>
      </c>
      <c r="AU913" s="1">
        <v>2017.0</v>
      </c>
      <c r="AV913" s="1">
        <v>54.0</v>
      </c>
      <c r="AW913" s="1">
        <v>2.0</v>
      </c>
      <c r="AX913" s="1" t="s">
        <v>74</v>
      </c>
      <c r="AY913" s="1" t="s">
        <v>74</v>
      </c>
      <c r="AZ913" s="1" t="s">
        <v>74</v>
      </c>
      <c r="BA913" s="1" t="s">
        <v>74</v>
      </c>
      <c r="BB913" s="1">
        <v>84.0</v>
      </c>
      <c r="BC913" s="1">
        <v>86.0</v>
      </c>
      <c r="BD913" s="1" t="s">
        <v>74</v>
      </c>
      <c r="BE913" s="1" t="s">
        <v>9066</v>
      </c>
      <c r="BF913" s="2" t="str">
        <f>HYPERLINK("http://dx.doi.org/10.1136/jmedgenet-2016-104148","http://dx.doi.org/10.1136/jmedgenet-2016-104148")</f>
        <v>http://dx.doi.org/10.1136/jmedgenet-2016-104148</v>
      </c>
      <c r="BG913" s="1" t="s">
        <v>74</v>
      </c>
      <c r="BH913" s="1" t="s">
        <v>74</v>
      </c>
      <c r="BI913" s="1" t="s">
        <v>74</v>
      </c>
      <c r="BJ913" s="1" t="s">
        <v>74</v>
      </c>
      <c r="BK913" s="1" t="s">
        <v>74</v>
      </c>
      <c r="BL913" s="1" t="s">
        <v>74</v>
      </c>
      <c r="BM913" s="1" t="s">
        <v>74</v>
      </c>
      <c r="BN913" s="1">
        <v>2.7811304E7</v>
      </c>
      <c r="BO913" s="1" t="s">
        <v>74</v>
      </c>
      <c r="BP913" s="1" t="s">
        <v>74</v>
      </c>
      <c r="BQ913" s="1" t="s">
        <v>74</v>
      </c>
      <c r="BR913" s="1" t="s">
        <v>74</v>
      </c>
      <c r="BS913" s="1" t="s">
        <v>9067</v>
      </c>
      <c r="BT913" s="1" t="str">
        <f>HYPERLINK("https%3A%2F%2Fwww.webofscience.com%2Fwos%2Fwoscc%2Ffull-record%2FWOS:000395523600008","View Full Record in Web of Science")</f>
        <v>View Full Record in Web of Science</v>
      </c>
    </row>
    <row r="914" ht="12.75" customHeight="1">
      <c r="A914" s="1" t="s">
        <v>72</v>
      </c>
      <c r="B914" s="1" t="s">
        <v>9068</v>
      </c>
      <c r="C914" s="1" t="s">
        <v>74</v>
      </c>
      <c r="D914" s="1" t="s">
        <v>74</v>
      </c>
      <c r="E914" s="1" t="s">
        <v>74</v>
      </c>
      <c r="F914" s="1" t="s">
        <v>9069</v>
      </c>
      <c r="G914" s="1" t="s">
        <v>74</v>
      </c>
      <c r="H914" s="1" t="s">
        <v>74</v>
      </c>
      <c r="I914" s="1" t="s">
        <v>9070</v>
      </c>
      <c r="J914" s="1" t="s">
        <v>9071</v>
      </c>
      <c r="K914" s="1" t="s">
        <v>74</v>
      </c>
      <c r="L914" s="1" t="s">
        <v>74</v>
      </c>
      <c r="M914" s="1" t="s">
        <v>74</v>
      </c>
      <c r="N914" s="1" t="s">
        <v>74</v>
      </c>
      <c r="O914" s="1" t="s">
        <v>74</v>
      </c>
      <c r="P914" s="1" t="s">
        <v>74</v>
      </c>
      <c r="Q914" s="1" t="s">
        <v>74</v>
      </c>
      <c r="R914" s="1" t="s">
        <v>74</v>
      </c>
      <c r="S914" s="1" t="s">
        <v>74</v>
      </c>
      <c r="T914" s="1" t="s">
        <v>74</v>
      </c>
      <c r="U914" s="1" t="s">
        <v>74</v>
      </c>
      <c r="V914" s="1" t="s">
        <v>9072</v>
      </c>
      <c r="W914" s="1" t="s">
        <v>74</v>
      </c>
      <c r="X914" s="1" t="s">
        <v>74</v>
      </c>
      <c r="Y914" s="1" t="s">
        <v>74</v>
      </c>
      <c r="Z914" s="1" t="s">
        <v>74</v>
      </c>
      <c r="AA914" s="1" t="s">
        <v>9073</v>
      </c>
      <c r="AB914" s="1" t="s">
        <v>9074</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9075</v>
      </c>
      <c r="AP914" s="1" t="s">
        <v>9076</v>
      </c>
      <c r="AQ914" s="1" t="s">
        <v>74</v>
      </c>
      <c r="AR914" s="1" t="s">
        <v>74</v>
      </c>
      <c r="AS914" s="1" t="s">
        <v>74</v>
      </c>
      <c r="AT914" s="1" t="s">
        <v>141</v>
      </c>
      <c r="AU914" s="1">
        <v>2020.0</v>
      </c>
      <c r="AV914" s="1">
        <v>146.0</v>
      </c>
      <c r="AW914" s="1" t="s">
        <v>74</v>
      </c>
      <c r="AX914" s="1" t="s">
        <v>74</v>
      </c>
      <c r="AY914" s="1" t="s">
        <v>74</v>
      </c>
      <c r="AZ914" s="1" t="s">
        <v>74</v>
      </c>
      <c r="BA914" s="1" t="s">
        <v>74</v>
      </c>
      <c r="BB914" s="1" t="s">
        <v>74</v>
      </c>
      <c r="BC914" s="1" t="s">
        <v>74</v>
      </c>
      <c r="BD914" s="1">
        <v>107563.0</v>
      </c>
      <c r="BE914" s="1" t="s">
        <v>9077</v>
      </c>
      <c r="BF914" s="2" t="str">
        <f>HYPERLINK("http://dx.doi.org/10.1016/j.neuropsychologia.2020.107563","http://dx.doi.org/10.1016/j.neuropsychologia.2020.107563")</f>
        <v>http://dx.doi.org/10.1016/j.neuropsychologia.2020.107563</v>
      </c>
      <c r="BG914" s="1" t="s">
        <v>74</v>
      </c>
      <c r="BH914" s="1" t="s">
        <v>74</v>
      </c>
      <c r="BI914" s="1" t="s">
        <v>74</v>
      </c>
      <c r="BJ914" s="1" t="s">
        <v>74</v>
      </c>
      <c r="BK914" s="1" t="s">
        <v>74</v>
      </c>
      <c r="BL914" s="1" t="s">
        <v>74</v>
      </c>
      <c r="BM914" s="1" t="s">
        <v>74</v>
      </c>
      <c r="BN914" s="1">
        <v>3.2682797E7</v>
      </c>
      <c r="BO914" s="1" t="s">
        <v>74</v>
      </c>
      <c r="BP914" s="1" t="s">
        <v>74</v>
      </c>
      <c r="BQ914" s="1" t="s">
        <v>74</v>
      </c>
      <c r="BR914" s="1" t="s">
        <v>74</v>
      </c>
      <c r="BS914" s="1" t="s">
        <v>9078</v>
      </c>
      <c r="BT914" s="1" t="str">
        <f>HYPERLINK("https%3A%2F%2Fwww.webofscience.com%2Fwos%2Fwoscc%2Ffull-record%2FWOS:000573020100007","View Full Record in Web of Science")</f>
        <v>View Full Record in Web of Science</v>
      </c>
    </row>
    <row r="915" ht="12.75" customHeight="1">
      <c r="A915" s="1" t="s">
        <v>72</v>
      </c>
      <c r="B915" s="1" t="s">
        <v>9079</v>
      </c>
      <c r="C915" s="1" t="s">
        <v>74</v>
      </c>
      <c r="D915" s="1" t="s">
        <v>74</v>
      </c>
      <c r="E915" s="1" t="s">
        <v>74</v>
      </c>
      <c r="F915" s="1" t="s">
        <v>9080</v>
      </c>
      <c r="G915" s="1" t="s">
        <v>74</v>
      </c>
      <c r="H915" s="1" t="s">
        <v>74</v>
      </c>
      <c r="I915" s="1" t="s">
        <v>9081</v>
      </c>
      <c r="J915" s="1" t="s">
        <v>6980</v>
      </c>
      <c r="K915" s="1" t="s">
        <v>74</v>
      </c>
      <c r="L915" s="1" t="s">
        <v>74</v>
      </c>
      <c r="M915" s="1" t="s">
        <v>74</v>
      </c>
      <c r="N915" s="1" t="s">
        <v>74</v>
      </c>
      <c r="O915" s="1" t="s">
        <v>74</v>
      </c>
      <c r="P915" s="1" t="s">
        <v>74</v>
      </c>
      <c r="Q915" s="1" t="s">
        <v>74</v>
      </c>
      <c r="R915" s="1" t="s">
        <v>74</v>
      </c>
      <c r="S915" s="1" t="s">
        <v>74</v>
      </c>
      <c r="T915" s="1" t="s">
        <v>74</v>
      </c>
      <c r="U915" s="1" t="s">
        <v>74</v>
      </c>
      <c r="V915" s="1" t="s">
        <v>9082</v>
      </c>
      <c r="W915" s="1" t="s">
        <v>74</v>
      </c>
      <c r="X915" s="1" t="s">
        <v>74</v>
      </c>
      <c r="Y915" s="1" t="s">
        <v>74</v>
      </c>
      <c r="Z915" s="1" t="s">
        <v>74</v>
      </c>
      <c r="AA915" s="1" t="s">
        <v>9083</v>
      </c>
      <c r="AB915" s="1" t="s">
        <v>9084</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6984</v>
      </c>
      <c r="AP915" s="1" t="s">
        <v>6985</v>
      </c>
      <c r="AQ915" s="1" t="s">
        <v>74</v>
      </c>
      <c r="AR915" s="1" t="s">
        <v>74</v>
      </c>
      <c r="AS915" s="1" t="s">
        <v>74</v>
      </c>
      <c r="AT915" s="1" t="s">
        <v>1455</v>
      </c>
      <c r="AU915" s="1">
        <v>2016.0</v>
      </c>
      <c r="AV915" s="1">
        <v>369.0</v>
      </c>
      <c r="AW915" s="1" t="s">
        <v>74</v>
      </c>
      <c r="AX915" s="1" t="s">
        <v>74</v>
      </c>
      <c r="AY915" s="1" t="s">
        <v>74</v>
      </c>
      <c r="AZ915" s="1" t="s">
        <v>74</v>
      </c>
      <c r="BA915" s="1" t="s">
        <v>74</v>
      </c>
      <c r="BB915" s="1">
        <v>135.0</v>
      </c>
      <c r="BC915" s="1">
        <v>143.0</v>
      </c>
      <c r="BD915" s="1" t="s">
        <v>74</v>
      </c>
      <c r="BE915" s="1" t="s">
        <v>9085</v>
      </c>
      <c r="BF915" s="2" t="str">
        <f>HYPERLINK("http://dx.doi.org/10.1016/j.foreco.2016.03.024","http://dx.doi.org/10.1016/j.foreco.2016.03.024")</f>
        <v>http://dx.doi.org/10.1016/j.foreco.2016.03.024</v>
      </c>
      <c r="BG915" s="1" t="s">
        <v>74</v>
      </c>
      <c r="BH915" s="1" t="s">
        <v>74</v>
      </c>
      <c r="BI915" s="1" t="s">
        <v>74</v>
      </c>
      <c r="BJ915" s="1" t="s">
        <v>74</v>
      </c>
      <c r="BK915" s="1" t="s">
        <v>74</v>
      </c>
      <c r="BL915" s="1" t="s">
        <v>74</v>
      </c>
      <c r="BM915" s="1" t="s">
        <v>74</v>
      </c>
      <c r="BN915" s="1" t="s">
        <v>74</v>
      </c>
      <c r="BO915" s="1" t="s">
        <v>74</v>
      </c>
      <c r="BP915" s="1" t="s">
        <v>74</v>
      </c>
      <c r="BQ915" s="1" t="s">
        <v>74</v>
      </c>
      <c r="BR915" s="1" t="s">
        <v>74</v>
      </c>
      <c r="BS915" s="1" t="s">
        <v>9086</v>
      </c>
      <c r="BT915" s="1" t="str">
        <f>HYPERLINK("https%3A%2F%2Fwww.webofscience.com%2Fwos%2Fwoscc%2Ffull-record%2FWOS:000375169500014","View Full Record in Web of Science")</f>
        <v>View Full Record in Web of Science</v>
      </c>
    </row>
    <row r="916" ht="12.75" customHeight="1">
      <c r="A916" s="1" t="s">
        <v>72</v>
      </c>
      <c r="B916" s="1" t="s">
        <v>9087</v>
      </c>
      <c r="C916" s="1" t="s">
        <v>74</v>
      </c>
      <c r="D916" s="1" t="s">
        <v>74</v>
      </c>
      <c r="E916" s="1" t="s">
        <v>74</v>
      </c>
      <c r="F916" s="1" t="s">
        <v>9088</v>
      </c>
      <c r="G916" s="1" t="s">
        <v>74</v>
      </c>
      <c r="H916" s="1" t="s">
        <v>74</v>
      </c>
      <c r="I916" s="1" t="s">
        <v>9089</v>
      </c>
      <c r="J916" s="1" t="s">
        <v>1441</v>
      </c>
      <c r="K916" s="1" t="s">
        <v>74</v>
      </c>
      <c r="L916" s="1" t="s">
        <v>74</v>
      </c>
      <c r="M916" s="1" t="s">
        <v>74</v>
      </c>
      <c r="N916" s="1" t="s">
        <v>74</v>
      </c>
      <c r="O916" s="1" t="s">
        <v>74</v>
      </c>
      <c r="P916" s="1" t="s">
        <v>74</v>
      </c>
      <c r="Q916" s="1" t="s">
        <v>74</v>
      </c>
      <c r="R916" s="1" t="s">
        <v>74</v>
      </c>
      <c r="S916" s="1" t="s">
        <v>74</v>
      </c>
      <c r="T916" s="1" t="s">
        <v>74</v>
      </c>
      <c r="U916" s="1" t="s">
        <v>74</v>
      </c>
      <c r="V916" s="1" t="s">
        <v>9090</v>
      </c>
      <c r="W916" s="1" t="s">
        <v>74</v>
      </c>
      <c r="X916" s="1" t="s">
        <v>74</v>
      </c>
      <c r="Y916" s="1" t="s">
        <v>74</v>
      </c>
      <c r="Z916" s="1" t="s">
        <v>74</v>
      </c>
      <c r="AA916" s="1" t="s">
        <v>9091</v>
      </c>
      <c r="AB916" s="1" t="s">
        <v>9092</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1445</v>
      </c>
      <c r="AP916" s="1" t="s">
        <v>1446</v>
      </c>
      <c r="AQ916" s="1" t="s">
        <v>74</v>
      </c>
      <c r="AR916" s="1" t="s">
        <v>74</v>
      </c>
      <c r="AS916" s="1" t="s">
        <v>74</v>
      </c>
      <c r="AT916" s="1" t="s">
        <v>239</v>
      </c>
      <c r="AU916" s="1">
        <v>2021.0</v>
      </c>
      <c r="AV916" s="1">
        <v>912.0</v>
      </c>
      <c r="AW916" s="1">
        <v>1.0</v>
      </c>
      <c r="AX916" s="1" t="s">
        <v>74</v>
      </c>
      <c r="AY916" s="1" t="s">
        <v>74</v>
      </c>
      <c r="AZ916" s="1" t="s">
        <v>74</v>
      </c>
      <c r="BA916" s="1" t="s">
        <v>74</v>
      </c>
      <c r="BB916" s="1" t="s">
        <v>74</v>
      </c>
      <c r="BC916" s="1" t="s">
        <v>74</v>
      </c>
      <c r="BD916" s="1">
        <v>64.0</v>
      </c>
      <c r="BE916" s="1" t="s">
        <v>9093</v>
      </c>
      <c r="BF916" s="2" t="str">
        <f>HYPERLINK("http://dx.doi.org/10.3847/1538-4357/abec42","http://dx.doi.org/10.3847/1538-4357/abec42")</f>
        <v>http://dx.doi.org/10.3847/1538-4357/abec42</v>
      </c>
      <c r="BG916" s="1" t="s">
        <v>74</v>
      </c>
      <c r="BH916" s="1" t="s">
        <v>74</v>
      </c>
      <c r="BI916" s="1" t="s">
        <v>74</v>
      </c>
      <c r="BJ916" s="1" t="s">
        <v>74</v>
      </c>
      <c r="BK916" s="1" t="s">
        <v>74</v>
      </c>
      <c r="BL916" s="1" t="s">
        <v>74</v>
      </c>
      <c r="BM916" s="1" t="s">
        <v>74</v>
      </c>
      <c r="BN916" s="1" t="s">
        <v>74</v>
      </c>
      <c r="BO916" s="1" t="s">
        <v>74</v>
      </c>
      <c r="BP916" s="1" t="s">
        <v>74</v>
      </c>
      <c r="BQ916" s="1" t="s">
        <v>74</v>
      </c>
      <c r="BR916" s="1" t="s">
        <v>74</v>
      </c>
      <c r="BS916" s="1" t="s">
        <v>9094</v>
      </c>
      <c r="BT916" s="1" t="str">
        <f>HYPERLINK("https%3A%2F%2Fwww.webofscience.com%2Fwos%2Fwoscc%2Ffull-record%2FWOS:000648720200001","View Full Record in Web of Science")</f>
        <v>View Full Record in Web of Science</v>
      </c>
    </row>
    <row r="917" ht="12.75" customHeight="1">
      <c r="A917" s="1" t="s">
        <v>72</v>
      </c>
      <c r="B917" s="1" t="s">
        <v>9095</v>
      </c>
      <c r="C917" s="1" t="s">
        <v>74</v>
      </c>
      <c r="D917" s="1" t="s">
        <v>74</v>
      </c>
      <c r="E917" s="1" t="s">
        <v>74</v>
      </c>
      <c r="F917" s="1" t="s">
        <v>9096</v>
      </c>
      <c r="G917" s="1" t="s">
        <v>74</v>
      </c>
      <c r="H917" s="1" t="s">
        <v>74</v>
      </c>
      <c r="I917" s="1" t="s">
        <v>9097</v>
      </c>
      <c r="J917" s="1" t="s">
        <v>2720</v>
      </c>
      <c r="K917" s="1" t="s">
        <v>74</v>
      </c>
      <c r="L917" s="1" t="s">
        <v>74</v>
      </c>
      <c r="M917" s="1" t="s">
        <v>74</v>
      </c>
      <c r="N917" s="1" t="s">
        <v>74</v>
      </c>
      <c r="O917" s="1" t="s">
        <v>74</v>
      </c>
      <c r="P917" s="1" t="s">
        <v>74</v>
      </c>
      <c r="Q917" s="1" t="s">
        <v>74</v>
      </c>
      <c r="R917" s="1" t="s">
        <v>74</v>
      </c>
      <c r="S917" s="1" t="s">
        <v>74</v>
      </c>
      <c r="T917" s="1" t="s">
        <v>74</v>
      </c>
      <c r="U917" s="1" t="s">
        <v>74</v>
      </c>
      <c r="V917" s="1" t="s">
        <v>9098</v>
      </c>
      <c r="W917" s="1" t="s">
        <v>74</v>
      </c>
      <c r="X917" s="1" t="s">
        <v>74</v>
      </c>
      <c r="Y917" s="1" t="s">
        <v>74</v>
      </c>
      <c r="Z917" s="1" t="s">
        <v>74</v>
      </c>
      <c r="AA917" s="1" t="s">
        <v>9099</v>
      </c>
      <c r="AB917" s="1" t="s">
        <v>74</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2724</v>
      </c>
      <c r="AP917" s="1" t="s">
        <v>74</v>
      </c>
      <c r="AQ917" s="1" t="s">
        <v>74</v>
      </c>
      <c r="AR917" s="1" t="s">
        <v>74</v>
      </c>
      <c r="AS917" s="1" t="s">
        <v>74</v>
      </c>
      <c r="AT917" s="1" t="s">
        <v>4580</v>
      </c>
      <c r="AU917" s="1">
        <v>2025.0</v>
      </c>
      <c r="AV917" s="1">
        <v>56.0</v>
      </c>
      <c r="AW917" s="1" t="s">
        <v>74</v>
      </c>
      <c r="AX917" s="1" t="s">
        <v>74</v>
      </c>
      <c r="AY917" s="1" t="s">
        <v>74</v>
      </c>
      <c r="AZ917" s="1" t="s">
        <v>74</v>
      </c>
      <c r="BA917" s="1" t="s">
        <v>74</v>
      </c>
      <c r="BB917" s="1" t="s">
        <v>74</v>
      </c>
      <c r="BC917" s="1" t="s">
        <v>74</v>
      </c>
      <c r="BD917" s="1">
        <v>105579.0</v>
      </c>
      <c r="BE917" s="1" t="s">
        <v>9100</v>
      </c>
      <c r="BF917" s="2" t="str">
        <f>HYPERLINK("http://dx.doi.org/10.1016/j.surfin.2024.105579","http://dx.doi.org/10.1016/j.surfin.2024.105579")</f>
        <v>http://dx.doi.org/10.1016/j.surfin.2024.105579</v>
      </c>
      <c r="BG917" s="1" t="s">
        <v>74</v>
      </c>
      <c r="BH917" s="1" t="s">
        <v>228</v>
      </c>
      <c r="BI917" s="1" t="s">
        <v>74</v>
      </c>
      <c r="BJ917" s="1" t="s">
        <v>74</v>
      </c>
      <c r="BK917" s="1" t="s">
        <v>74</v>
      </c>
      <c r="BL917" s="1" t="s">
        <v>74</v>
      </c>
      <c r="BM917" s="1" t="s">
        <v>74</v>
      </c>
      <c r="BN917" s="1" t="s">
        <v>74</v>
      </c>
      <c r="BO917" s="1" t="s">
        <v>74</v>
      </c>
      <c r="BP917" s="1" t="s">
        <v>74</v>
      </c>
      <c r="BQ917" s="1" t="s">
        <v>74</v>
      </c>
      <c r="BR917" s="1" t="s">
        <v>74</v>
      </c>
      <c r="BS917" s="1" t="s">
        <v>9101</v>
      </c>
      <c r="BT917" s="1" t="str">
        <f>HYPERLINK("https%3A%2F%2Fwww.webofscience.com%2Fwos%2Fwoscc%2Ffull-record%2FWOS:001389205900001","View Full Record in Web of Science")</f>
        <v>View Full Record in Web of Science</v>
      </c>
    </row>
    <row r="918" ht="12.75" customHeight="1">
      <c r="A918" s="1" t="s">
        <v>72</v>
      </c>
      <c r="B918" s="1" t="s">
        <v>9102</v>
      </c>
      <c r="C918" s="1" t="s">
        <v>74</v>
      </c>
      <c r="D918" s="1" t="s">
        <v>74</v>
      </c>
      <c r="E918" s="1" t="s">
        <v>74</v>
      </c>
      <c r="F918" s="1" t="s">
        <v>9103</v>
      </c>
      <c r="G918" s="1" t="s">
        <v>74</v>
      </c>
      <c r="H918" s="1" t="s">
        <v>74</v>
      </c>
      <c r="I918" s="1" t="s">
        <v>9104</v>
      </c>
      <c r="J918" s="1" t="s">
        <v>1226</v>
      </c>
      <c r="K918" s="1" t="s">
        <v>74</v>
      </c>
      <c r="L918" s="1" t="s">
        <v>74</v>
      </c>
      <c r="M918" s="1" t="s">
        <v>74</v>
      </c>
      <c r="N918" s="1" t="s">
        <v>74</v>
      </c>
      <c r="O918" s="1" t="s">
        <v>74</v>
      </c>
      <c r="P918" s="1" t="s">
        <v>74</v>
      </c>
      <c r="Q918" s="1" t="s">
        <v>74</v>
      </c>
      <c r="R918" s="1" t="s">
        <v>74</v>
      </c>
      <c r="S918" s="1" t="s">
        <v>74</v>
      </c>
      <c r="T918" s="1" t="s">
        <v>74</v>
      </c>
      <c r="U918" s="1" t="s">
        <v>74</v>
      </c>
      <c r="V918" s="1" t="s">
        <v>9105</v>
      </c>
      <c r="W918" s="1" t="s">
        <v>74</v>
      </c>
      <c r="X918" s="1" t="s">
        <v>74</v>
      </c>
      <c r="Y918" s="1" t="s">
        <v>74</v>
      </c>
      <c r="Z918" s="1" t="s">
        <v>74</v>
      </c>
      <c r="AA918" s="1" t="s">
        <v>9106</v>
      </c>
      <c r="AB918" s="1" t="s">
        <v>9107</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1228</v>
      </c>
      <c r="AP918" s="1" t="s">
        <v>1229</v>
      </c>
      <c r="AQ918" s="1" t="s">
        <v>74</v>
      </c>
      <c r="AR918" s="1" t="s">
        <v>74</v>
      </c>
      <c r="AS918" s="1" t="s">
        <v>74</v>
      </c>
      <c r="AT918" s="1" t="s">
        <v>7426</v>
      </c>
      <c r="AU918" s="1">
        <v>2024.0</v>
      </c>
      <c r="AV918" s="1">
        <v>692.0</v>
      </c>
      <c r="AW918" s="1" t="s">
        <v>74</v>
      </c>
      <c r="AX918" s="1" t="s">
        <v>74</v>
      </c>
      <c r="AY918" s="1" t="s">
        <v>74</v>
      </c>
      <c r="AZ918" s="1" t="s">
        <v>74</v>
      </c>
      <c r="BA918" s="1" t="s">
        <v>74</v>
      </c>
      <c r="BB918" s="1" t="s">
        <v>74</v>
      </c>
      <c r="BC918" s="1" t="s">
        <v>74</v>
      </c>
      <c r="BD918" s="1" t="s">
        <v>9108</v>
      </c>
      <c r="BE918" s="1" t="s">
        <v>9109</v>
      </c>
      <c r="BF918" s="2" t="str">
        <f>HYPERLINK("http://dx.doi.org/10.1051/0004-6361/202450168","http://dx.doi.org/10.1051/0004-6361/202450168")</f>
        <v>http://dx.doi.org/10.1051/0004-6361/202450168</v>
      </c>
      <c r="BG918" s="1" t="s">
        <v>74</v>
      </c>
      <c r="BH918" s="1" t="s">
        <v>74</v>
      </c>
      <c r="BI918" s="1" t="s">
        <v>74</v>
      </c>
      <c r="BJ918" s="1" t="s">
        <v>74</v>
      </c>
      <c r="BK918" s="1" t="s">
        <v>74</v>
      </c>
      <c r="BL918" s="1" t="s">
        <v>74</v>
      </c>
      <c r="BM918" s="1" t="s">
        <v>74</v>
      </c>
      <c r="BN918" s="1" t="s">
        <v>74</v>
      </c>
      <c r="BO918" s="1" t="s">
        <v>74</v>
      </c>
      <c r="BP918" s="1" t="s">
        <v>74</v>
      </c>
      <c r="BQ918" s="1" t="s">
        <v>74</v>
      </c>
      <c r="BR918" s="1" t="s">
        <v>74</v>
      </c>
      <c r="BS918" s="1" t="s">
        <v>9110</v>
      </c>
      <c r="BT918" s="1" t="str">
        <f>HYPERLINK("https%3A%2F%2Fwww.webofscience.com%2Fwos%2Fwoscc%2Ffull-record%2FWOS:001376695600004","View Full Record in Web of Science")</f>
        <v>View Full Record in Web of Science</v>
      </c>
    </row>
    <row r="919" ht="12.75" customHeight="1">
      <c r="A919" s="1" t="s">
        <v>72</v>
      </c>
      <c r="B919" s="1" t="s">
        <v>9111</v>
      </c>
      <c r="C919" s="1" t="s">
        <v>74</v>
      </c>
      <c r="D919" s="1" t="s">
        <v>74</v>
      </c>
      <c r="E919" s="1" t="s">
        <v>74</v>
      </c>
      <c r="F919" s="1" t="s">
        <v>9112</v>
      </c>
      <c r="G919" s="1" t="s">
        <v>74</v>
      </c>
      <c r="H919" s="1" t="s">
        <v>74</v>
      </c>
      <c r="I919" s="1" t="s">
        <v>9113</v>
      </c>
      <c r="J919" s="1" t="s">
        <v>259</v>
      </c>
      <c r="K919" s="1" t="s">
        <v>74</v>
      </c>
      <c r="L919" s="1" t="s">
        <v>74</v>
      </c>
      <c r="M919" s="1" t="s">
        <v>74</v>
      </c>
      <c r="N919" s="1" t="s">
        <v>74</v>
      </c>
      <c r="O919" s="1" t="s">
        <v>74</v>
      </c>
      <c r="P919" s="1" t="s">
        <v>74</v>
      </c>
      <c r="Q919" s="1" t="s">
        <v>74</v>
      </c>
      <c r="R919" s="1" t="s">
        <v>74</v>
      </c>
      <c r="S919" s="1" t="s">
        <v>74</v>
      </c>
      <c r="T919" s="1" t="s">
        <v>74</v>
      </c>
      <c r="U919" s="1" t="s">
        <v>74</v>
      </c>
      <c r="V919" s="1" t="s">
        <v>9114</v>
      </c>
      <c r="W919" s="1" t="s">
        <v>74</v>
      </c>
      <c r="X919" s="1" t="s">
        <v>74</v>
      </c>
      <c r="Y919" s="1" t="s">
        <v>74</v>
      </c>
      <c r="Z919" s="1" t="s">
        <v>74</v>
      </c>
      <c r="AA919" s="1" t="s">
        <v>9115</v>
      </c>
      <c r="AB919" s="1" t="s">
        <v>9116</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74</v>
      </c>
      <c r="AP919" s="1" t="s">
        <v>263</v>
      </c>
      <c r="AQ919" s="1" t="s">
        <v>74</v>
      </c>
      <c r="AR919" s="1" t="s">
        <v>74</v>
      </c>
      <c r="AS919" s="1" t="s">
        <v>74</v>
      </c>
      <c r="AT919" s="1" t="s">
        <v>346</v>
      </c>
      <c r="AU919" s="1">
        <v>2024.0</v>
      </c>
      <c r="AV919" s="1">
        <v>16.0</v>
      </c>
      <c r="AW919" s="1">
        <v>5.0</v>
      </c>
      <c r="AX919" s="1" t="s">
        <v>74</v>
      </c>
      <c r="AY919" s="1" t="s">
        <v>74</v>
      </c>
      <c r="AZ919" s="1" t="s">
        <v>74</v>
      </c>
      <c r="BA919" s="1" t="s">
        <v>74</v>
      </c>
      <c r="BB919" s="1" t="s">
        <v>74</v>
      </c>
      <c r="BC919" s="1" t="s">
        <v>74</v>
      </c>
      <c r="BD919" s="1">
        <v>608.0</v>
      </c>
      <c r="BE919" s="1" t="s">
        <v>9117</v>
      </c>
      <c r="BF919" s="2" t="str">
        <f>HYPERLINK("http://dx.doi.org/10.3390/nu16050608","http://dx.doi.org/10.3390/nu16050608")</f>
        <v>http://dx.doi.org/10.3390/nu16050608</v>
      </c>
      <c r="BG919" s="1" t="s">
        <v>74</v>
      </c>
      <c r="BH919" s="1" t="s">
        <v>74</v>
      </c>
      <c r="BI919" s="1" t="s">
        <v>74</v>
      </c>
      <c r="BJ919" s="1" t="s">
        <v>74</v>
      </c>
      <c r="BK919" s="1" t="s">
        <v>74</v>
      </c>
      <c r="BL919" s="1" t="s">
        <v>74</v>
      </c>
      <c r="BM919" s="1" t="s">
        <v>74</v>
      </c>
      <c r="BN919" s="1">
        <v>3.8474736E7</v>
      </c>
      <c r="BO919" s="1" t="s">
        <v>74</v>
      </c>
      <c r="BP919" s="1" t="s">
        <v>74</v>
      </c>
      <c r="BQ919" s="1" t="s">
        <v>74</v>
      </c>
      <c r="BR919" s="1" t="s">
        <v>74</v>
      </c>
      <c r="BS919" s="1" t="s">
        <v>9118</v>
      </c>
      <c r="BT919" s="1" t="str">
        <f>HYPERLINK("https%3A%2F%2Fwww.webofscience.com%2Fwos%2Fwoscc%2Ffull-record%2FWOS:001183439400001","View Full Record in Web of Science")</f>
        <v>View Full Record in Web of Science</v>
      </c>
    </row>
    <row r="920" ht="12.75" customHeight="1">
      <c r="A920" s="1" t="s">
        <v>72</v>
      </c>
      <c r="B920" s="1" t="s">
        <v>9119</v>
      </c>
      <c r="C920" s="1" t="s">
        <v>74</v>
      </c>
      <c r="D920" s="1" t="s">
        <v>74</v>
      </c>
      <c r="E920" s="1" t="s">
        <v>74</v>
      </c>
      <c r="F920" s="1" t="s">
        <v>9120</v>
      </c>
      <c r="G920" s="1" t="s">
        <v>74</v>
      </c>
      <c r="H920" s="1" t="s">
        <v>74</v>
      </c>
      <c r="I920" s="1" t="s">
        <v>9121</v>
      </c>
      <c r="J920" s="1" t="s">
        <v>5497</v>
      </c>
      <c r="K920" s="1" t="s">
        <v>74</v>
      </c>
      <c r="L920" s="1" t="s">
        <v>74</v>
      </c>
      <c r="M920" s="1" t="s">
        <v>74</v>
      </c>
      <c r="N920" s="1" t="s">
        <v>74</v>
      </c>
      <c r="O920" s="1" t="s">
        <v>74</v>
      </c>
      <c r="P920" s="1" t="s">
        <v>74</v>
      </c>
      <c r="Q920" s="1" t="s">
        <v>74</v>
      </c>
      <c r="R920" s="1" t="s">
        <v>74</v>
      </c>
      <c r="S920" s="1" t="s">
        <v>74</v>
      </c>
      <c r="T920" s="1" t="s">
        <v>74</v>
      </c>
      <c r="U920" s="1" t="s">
        <v>74</v>
      </c>
      <c r="V920" s="1" t="s">
        <v>74</v>
      </c>
      <c r="W920" s="1" t="s">
        <v>74</v>
      </c>
      <c r="X920" s="1" t="s">
        <v>74</v>
      </c>
      <c r="Y920" s="1" t="s">
        <v>74</v>
      </c>
      <c r="Z920" s="1" t="s">
        <v>74</v>
      </c>
      <c r="AA920" s="1" t="s">
        <v>9122</v>
      </c>
      <c r="AB920" s="1" t="s">
        <v>9123</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5501</v>
      </c>
      <c r="AP920" s="1" t="s">
        <v>74</v>
      </c>
      <c r="AQ920" s="1" t="s">
        <v>74</v>
      </c>
      <c r="AR920" s="1" t="s">
        <v>74</v>
      </c>
      <c r="AS920" s="1" t="s">
        <v>74</v>
      </c>
      <c r="AT920" s="1" t="s">
        <v>9124</v>
      </c>
      <c r="AU920" s="1">
        <v>2023.0</v>
      </c>
      <c r="AV920" s="1">
        <v>14.0</v>
      </c>
      <c r="AW920" s="1" t="s">
        <v>74</v>
      </c>
      <c r="AX920" s="1" t="s">
        <v>74</v>
      </c>
      <c r="AY920" s="1" t="s">
        <v>74</v>
      </c>
      <c r="AZ920" s="1" t="s">
        <v>74</v>
      </c>
      <c r="BA920" s="1" t="s">
        <v>74</v>
      </c>
      <c r="BB920" s="1" t="s">
        <v>74</v>
      </c>
      <c r="BC920" s="1" t="s">
        <v>74</v>
      </c>
      <c r="BD920" s="1">
        <v>1267183.0</v>
      </c>
      <c r="BE920" s="1" t="s">
        <v>9125</v>
      </c>
      <c r="BF920" s="2" t="str">
        <f>HYPERLINK("http://dx.doi.org/10.3389/fpls.2023.1267183","http://dx.doi.org/10.3389/fpls.2023.1267183")</f>
        <v>http://dx.doi.org/10.3389/fpls.2023.1267183</v>
      </c>
      <c r="BG920" s="1" t="s">
        <v>74</v>
      </c>
      <c r="BH920" s="1" t="s">
        <v>74</v>
      </c>
      <c r="BI920" s="1" t="s">
        <v>74</v>
      </c>
      <c r="BJ920" s="1" t="s">
        <v>74</v>
      </c>
      <c r="BK920" s="1" t="s">
        <v>74</v>
      </c>
      <c r="BL920" s="1" t="s">
        <v>74</v>
      </c>
      <c r="BM920" s="1" t="s">
        <v>74</v>
      </c>
      <c r="BN920" s="1">
        <v>3.7662183E7</v>
      </c>
      <c r="BO920" s="1" t="s">
        <v>74</v>
      </c>
      <c r="BP920" s="1" t="s">
        <v>74</v>
      </c>
      <c r="BQ920" s="1" t="s">
        <v>74</v>
      </c>
      <c r="BR920" s="1" t="s">
        <v>74</v>
      </c>
      <c r="BS920" s="1" t="s">
        <v>9126</v>
      </c>
      <c r="BT920" s="1" t="str">
        <f>HYPERLINK("https%3A%2F%2Fwww.webofscience.com%2Fwos%2Fwoscc%2Ffull-record%2FWOS:001059733100001","View Full Record in Web of Science")</f>
        <v>View Full Record in Web of Science</v>
      </c>
    </row>
    <row r="921" ht="12.75" customHeight="1">
      <c r="A921" s="1" t="s">
        <v>72</v>
      </c>
      <c r="B921" s="1" t="s">
        <v>9127</v>
      </c>
      <c r="C921" s="1" t="s">
        <v>74</v>
      </c>
      <c r="D921" s="1" t="s">
        <v>74</v>
      </c>
      <c r="E921" s="1" t="s">
        <v>74</v>
      </c>
      <c r="F921" s="1" t="s">
        <v>9128</v>
      </c>
      <c r="G921" s="1" t="s">
        <v>74</v>
      </c>
      <c r="H921" s="1" t="s">
        <v>74</v>
      </c>
      <c r="I921" s="1" t="s">
        <v>9129</v>
      </c>
      <c r="J921" s="1" t="s">
        <v>1057</v>
      </c>
      <c r="K921" s="1" t="s">
        <v>74</v>
      </c>
      <c r="L921" s="1" t="s">
        <v>74</v>
      </c>
      <c r="M921" s="1" t="s">
        <v>74</v>
      </c>
      <c r="N921" s="1" t="s">
        <v>74</v>
      </c>
      <c r="O921" s="1" t="s">
        <v>74</v>
      </c>
      <c r="P921" s="1" t="s">
        <v>74</v>
      </c>
      <c r="Q921" s="1" t="s">
        <v>74</v>
      </c>
      <c r="R921" s="1" t="s">
        <v>74</v>
      </c>
      <c r="S921" s="1" t="s">
        <v>74</v>
      </c>
      <c r="T921" s="1" t="s">
        <v>74</v>
      </c>
      <c r="U921" s="1" t="s">
        <v>74</v>
      </c>
      <c r="V921" s="1" t="s">
        <v>9130</v>
      </c>
      <c r="W921" s="1" t="s">
        <v>74</v>
      </c>
      <c r="X921" s="1" t="s">
        <v>74</v>
      </c>
      <c r="Y921" s="1" t="s">
        <v>74</v>
      </c>
      <c r="Z921" s="1" t="s">
        <v>74</v>
      </c>
      <c r="AA921" s="1" t="s">
        <v>9131</v>
      </c>
      <c r="AB921" s="1" t="s">
        <v>9132</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74</v>
      </c>
      <c r="AP921" s="1" t="s">
        <v>1061</v>
      </c>
      <c r="AQ921" s="1" t="s">
        <v>74</v>
      </c>
      <c r="AR921" s="1" t="s">
        <v>74</v>
      </c>
      <c r="AS921" s="1" t="s">
        <v>74</v>
      </c>
      <c r="AT921" s="1" t="s">
        <v>239</v>
      </c>
      <c r="AU921" s="1">
        <v>2021.0</v>
      </c>
      <c r="AV921" s="1">
        <v>18.0</v>
      </c>
      <c r="AW921" s="1">
        <v>9.0</v>
      </c>
      <c r="AX921" s="1" t="s">
        <v>74</v>
      </c>
      <c r="AY921" s="1" t="s">
        <v>74</v>
      </c>
      <c r="AZ921" s="1" t="s">
        <v>74</v>
      </c>
      <c r="BA921" s="1" t="s">
        <v>74</v>
      </c>
      <c r="BB921" s="1" t="s">
        <v>74</v>
      </c>
      <c r="BC921" s="1" t="s">
        <v>74</v>
      </c>
      <c r="BD921" s="1">
        <v>4967.0</v>
      </c>
      <c r="BE921" s="1" t="s">
        <v>9133</v>
      </c>
      <c r="BF921" s="2" t="str">
        <f>HYPERLINK("http://dx.doi.org/10.3390/ijerph18094967","http://dx.doi.org/10.3390/ijerph18094967")</f>
        <v>http://dx.doi.org/10.3390/ijerph18094967</v>
      </c>
      <c r="BG921" s="1" t="s">
        <v>74</v>
      </c>
      <c r="BH921" s="1" t="s">
        <v>74</v>
      </c>
      <c r="BI921" s="1" t="s">
        <v>74</v>
      </c>
      <c r="BJ921" s="1" t="s">
        <v>74</v>
      </c>
      <c r="BK921" s="1" t="s">
        <v>74</v>
      </c>
      <c r="BL921" s="1" t="s">
        <v>74</v>
      </c>
      <c r="BM921" s="1" t="s">
        <v>74</v>
      </c>
      <c r="BN921" s="1">
        <v>3.4067018E7</v>
      </c>
      <c r="BO921" s="1" t="s">
        <v>74</v>
      </c>
      <c r="BP921" s="1" t="s">
        <v>74</v>
      </c>
      <c r="BQ921" s="1" t="s">
        <v>74</v>
      </c>
      <c r="BR921" s="1" t="s">
        <v>74</v>
      </c>
      <c r="BS921" s="1" t="s">
        <v>9134</v>
      </c>
      <c r="BT921" s="1" t="str">
        <f>HYPERLINK("https%3A%2F%2Fwww.webofscience.com%2Fwos%2Fwoscc%2Ffull-record%2FWOS:000650259500001","View Full Record in Web of Science")</f>
        <v>View Full Record in Web of Science</v>
      </c>
    </row>
    <row r="922" ht="12.75" customHeight="1">
      <c r="A922" s="1" t="s">
        <v>72</v>
      </c>
      <c r="B922" s="1" t="s">
        <v>9135</v>
      </c>
      <c r="C922" s="1" t="s">
        <v>74</v>
      </c>
      <c r="D922" s="1" t="s">
        <v>74</v>
      </c>
      <c r="E922" s="1" t="s">
        <v>74</v>
      </c>
      <c r="F922" s="1" t="s">
        <v>9136</v>
      </c>
      <c r="G922" s="1" t="s">
        <v>74</v>
      </c>
      <c r="H922" s="1" t="s">
        <v>74</v>
      </c>
      <c r="I922" s="1" t="s">
        <v>9137</v>
      </c>
      <c r="J922" s="1" t="s">
        <v>5761</v>
      </c>
      <c r="K922" s="1" t="s">
        <v>74</v>
      </c>
      <c r="L922" s="1" t="s">
        <v>74</v>
      </c>
      <c r="M922" s="1" t="s">
        <v>74</v>
      </c>
      <c r="N922" s="1" t="s">
        <v>74</v>
      </c>
      <c r="O922" s="1" t="s">
        <v>74</v>
      </c>
      <c r="P922" s="1" t="s">
        <v>74</v>
      </c>
      <c r="Q922" s="1" t="s">
        <v>74</v>
      </c>
      <c r="R922" s="1" t="s">
        <v>74</v>
      </c>
      <c r="S922" s="1" t="s">
        <v>74</v>
      </c>
      <c r="T922" s="1" t="s">
        <v>74</v>
      </c>
      <c r="U922" s="1" t="s">
        <v>74</v>
      </c>
      <c r="V922" s="1" t="s">
        <v>9138</v>
      </c>
      <c r="W922" s="1" t="s">
        <v>74</v>
      </c>
      <c r="X922" s="1" t="s">
        <v>74</v>
      </c>
      <c r="Y922" s="1" t="s">
        <v>74</v>
      </c>
      <c r="Z922" s="1" t="s">
        <v>74</v>
      </c>
      <c r="AA922" s="1" t="s">
        <v>9139</v>
      </c>
      <c r="AB922" s="1" t="s">
        <v>9140</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5765</v>
      </c>
      <c r="AP922" s="1" t="s">
        <v>5766</v>
      </c>
      <c r="AQ922" s="1" t="s">
        <v>74</v>
      </c>
      <c r="AR922" s="1" t="s">
        <v>74</v>
      </c>
      <c r="AS922" s="1" t="s">
        <v>74</v>
      </c>
      <c r="AT922" s="1" t="s">
        <v>3844</v>
      </c>
      <c r="AU922" s="1">
        <v>2016.0</v>
      </c>
      <c r="AV922" s="1">
        <v>93.0</v>
      </c>
      <c r="AW922" s="1">
        <v>2.0</v>
      </c>
      <c r="AX922" s="1" t="s">
        <v>74</v>
      </c>
      <c r="AY922" s="1" t="s">
        <v>74</v>
      </c>
      <c r="AZ922" s="1" t="s">
        <v>74</v>
      </c>
      <c r="BA922" s="1" t="s">
        <v>74</v>
      </c>
      <c r="BB922" s="1" t="s">
        <v>74</v>
      </c>
      <c r="BC922" s="1" t="s">
        <v>74</v>
      </c>
      <c r="BD922" s="1">
        <v>23821.0</v>
      </c>
      <c r="BE922" s="1" t="s">
        <v>9141</v>
      </c>
      <c r="BF922" s="2" t="str">
        <f>HYPERLINK("http://dx.doi.org/10.1103/PhysRevA.93.023821","http://dx.doi.org/10.1103/PhysRevA.93.023821")</f>
        <v>http://dx.doi.org/10.1103/PhysRevA.93.023821</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9142</v>
      </c>
      <c r="BT922" s="1" t="str">
        <f>HYPERLINK("https%3A%2F%2Fwww.webofscience.com%2Fwos%2Fwoscc%2Ffull-record%2FWOS:000370243800018","View Full Record in Web of Science")</f>
        <v>View Full Record in Web of Science</v>
      </c>
    </row>
    <row r="923" ht="12.75" customHeight="1">
      <c r="A923" s="1" t="s">
        <v>72</v>
      </c>
      <c r="B923" s="1" t="s">
        <v>9143</v>
      </c>
      <c r="C923" s="1" t="s">
        <v>74</v>
      </c>
      <c r="D923" s="1" t="s">
        <v>74</v>
      </c>
      <c r="E923" s="1" t="s">
        <v>74</v>
      </c>
      <c r="F923" s="1" t="s">
        <v>9144</v>
      </c>
      <c r="G923" s="1" t="s">
        <v>74</v>
      </c>
      <c r="H923" s="1" t="s">
        <v>74</v>
      </c>
      <c r="I923" s="1" t="s">
        <v>9145</v>
      </c>
      <c r="J923" s="1" t="s">
        <v>9146</v>
      </c>
      <c r="K923" s="1" t="s">
        <v>74</v>
      </c>
      <c r="L923" s="1" t="s">
        <v>74</v>
      </c>
      <c r="M923" s="1" t="s">
        <v>74</v>
      </c>
      <c r="N923" s="1" t="s">
        <v>74</v>
      </c>
      <c r="O923" s="1" t="s">
        <v>74</v>
      </c>
      <c r="P923" s="1" t="s">
        <v>74</v>
      </c>
      <c r="Q923" s="1" t="s">
        <v>74</v>
      </c>
      <c r="R923" s="1" t="s">
        <v>74</v>
      </c>
      <c r="S923" s="1" t="s">
        <v>74</v>
      </c>
      <c r="T923" s="1" t="s">
        <v>74</v>
      </c>
      <c r="U923" s="1" t="s">
        <v>74</v>
      </c>
      <c r="V923" s="1" t="s">
        <v>9147</v>
      </c>
      <c r="W923" s="1" t="s">
        <v>74</v>
      </c>
      <c r="X923" s="1" t="s">
        <v>74</v>
      </c>
      <c r="Y923" s="1" t="s">
        <v>74</v>
      </c>
      <c r="Z923" s="1" t="s">
        <v>74</v>
      </c>
      <c r="AA923" s="1" t="s">
        <v>9148</v>
      </c>
      <c r="AB923" s="1" t="s">
        <v>9149</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9150</v>
      </c>
      <c r="AP923" s="1" t="s">
        <v>9151</v>
      </c>
      <c r="AQ923" s="1" t="s">
        <v>74</v>
      </c>
      <c r="AR923" s="1" t="s">
        <v>74</v>
      </c>
      <c r="AS923" s="1" t="s">
        <v>74</v>
      </c>
      <c r="AT923" s="1" t="s">
        <v>7300</v>
      </c>
      <c r="AU923" s="1">
        <v>2021.0</v>
      </c>
      <c r="AV923" s="1">
        <v>33.0</v>
      </c>
      <c r="AW923" s="1">
        <v>8.0</v>
      </c>
      <c r="AX923" s="1" t="s">
        <v>74</v>
      </c>
      <c r="AY923" s="1" t="s">
        <v>74</v>
      </c>
      <c r="AZ923" s="1" t="s">
        <v>74</v>
      </c>
      <c r="BA923" s="1" t="s">
        <v>74</v>
      </c>
      <c r="BB923" s="1">
        <v>1413.0</v>
      </c>
      <c r="BC923" s="1">
        <v>1427.0</v>
      </c>
      <c r="BD923" s="1" t="s">
        <v>74</v>
      </c>
      <c r="BE923" s="1" t="s">
        <v>9152</v>
      </c>
      <c r="BF923" s="2" t="str">
        <f>HYPERLINK("http://dx.doi.org/10.1162/jocn_a_01732","http://dx.doi.org/10.1162/jocn_a_01732")</f>
        <v>http://dx.doi.org/10.1162/jocn_a_01732</v>
      </c>
      <c r="BG923" s="1" t="s">
        <v>74</v>
      </c>
      <c r="BH923" s="1" t="s">
        <v>74</v>
      </c>
      <c r="BI923" s="1" t="s">
        <v>74</v>
      </c>
      <c r="BJ923" s="1" t="s">
        <v>74</v>
      </c>
      <c r="BK923" s="1" t="s">
        <v>74</v>
      </c>
      <c r="BL923" s="1" t="s">
        <v>74</v>
      </c>
      <c r="BM923" s="1" t="s">
        <v>74</v>
      </c>
      <c r="BN923" s="1">
        <v>3.4496378E7</v>
      </c>
      <c r="BO923" s="1" t="s">
        <v>74</v>
      </c>
      <c r="BP923" s="1" t="s">
        <v>74</v>
      </c>
      <c r="BQ923" s="1" t="s">
        <v>74</v>
      </c>
      <c r="BR923" s="1" t="s">
        <v>74</v>
      </c>
      <c r="BS923" s="1" t="s">
        <v>9153</v>
      </c>
      <c r="BT923" s="1" t="str">
        <f>HYPERLINK("https%3A%2F%2Fwww.webofscience.com%2Fwos%2Fwoscc%2Ffull-record%2FWOS:000840882100002","View Full Record in Web of Science")</f>
        <v>View Full Record in Web of Science</v>
      </c>
    </row>
    <row r="924" ht="12.75" customHeight="1">
      <c r="A924" s="1" t="s">
        <v>72</v>
      </c>
      <c r="B924" s="1" t="s">
        <v>9154</v>
      </c>
      <c r="C924" s="1" t="s">
        <v>74</v>
      </c>
      <c r="D924" s="1" t="s">
        <v>74</v>
      </c>
      <c r="E924" s="1" t="s">
        <v>74</v>
      </c>
      <c r="F924" s="1" t="s">
        <v>9155</v>
      </c>
      <c r="G924" s="1" t="s">
        <v>74</v>
      </c>
      <c r="H924" s="1" t="s">
        <v>74</v>
      </c>
      <c r="I924" s="1" t="s">
        <v>9156</v>
      </c>
      <c r="J924" s="1" t="s">
        <v>9157</v>
      </c>
      <c r="K924" s="1" t="s">
        <v>74</v>
      </c>
      <c r="L924" s="1" t="s">
        <v>74</v>
      </c>
      <c r="M924" s="1" t="s">
        <v>74</v>
      </c>
      <c r="N924" s="1" t="s">
        <v>74</v>
      </c>
      <c r="O924" s="1" t="s">
        <v>74</v>
      </c>
      <c r="P924" s="1" t="s">
        <v>74</v>
      </c>
      <c r="Q924" s="1" t="s">
        <v>74</v>
      </c>
      <c r="R924" s="1" t="s">
        <v>74</v>
      </c>
      <c r="S924" s="1" t="s">
        <v>74</v>
      </c>
      <c r="T924" s="1" t="s">
        <v>74</v>
      </c>
      <c r="U924" s="1" t="s">
        <v>74</v>
      </c>
      <c r="V924" s="1" t="s">
        <v>9158</v>
      </c>
      <c r="W924" s="1" t="s">
        <v>74</v>
      </c>
      <c r="X924" s="1" t="s">
        <v>74</v>
      </c>
      <c r="Y924" s="1" t="s">
        <v>74</v>
      </c>
      <c r="Z924" s="1" t="s">
        <v>74</v>
      </c>
      <c r="AA924" s="1" t="s">
        <v>9159</v>
      </c>
      <c r="AB924" s="1" t="s">
        <v>9160</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9161</v>
      </c>
      <c r="AP924" s="1" t="s">
        <v>9162</v>
      </c>
      <c r="AQ924" s="1" t="s">
        <v>74</v>
      </c>
      <c r="AR924" s="1" t="s">
        <v>74</v>
      </c>
      <c r="AS924" s="1" t="s">
        <v>74</v>
      </c>
      <c r="AT924" s="1" t="s">
        <v>141</v>
      </c>
      <c r="AU924" s="1">
        <v>2018.0</v>
      </c>
      <c r="AV924" s="1">
        <v>55.0</v>
      </c>
      <c r="AW924" s="1">
        <v>3.0</v>
      </c>
      <c r="AX924" s="1" t="s">
        <v>74</v>
      </c>
      <c r="AY924" s="1" t="s">
        <v>74</v>
      </c>
      <c r="AZ924" s="1" t="s">
        <v>74</v>
      </c>
      <c r="BA924" s="1" t="s">
        <v>74</v>
      </c>
      <c r="BB924" s="1">
        <v>395.0</v>
      </c>
      <c r="BC924" s="1">
        <v>402.0</v>
      </c>
      <c r="BD924" s="1" t="s">
        <v>74</v>
      </c>
      <c r="BE924" s="1" t="s">
        <v>9163</v>
      </c>
      <c r="BF924" s="2" t="str">
        <f>HYPERLINK("http://dx.doi.org/10.1016/j.amepre.2018.04.042","http://dx.doi.org/10.1016/j.amepre.2018.04.042")</f>
        <v>http://dx.doi.org/10.1016/j.amepre.2018.04.042</v>
      </c>
      <c r="BG924" s="1" t="s">
        <v>74</v>
      </c>
      <c r="BH924" s="1" t="s">
        <v>74</v>
      </c>
      <c r="BI924" s="1" t="s">
        <v>74</v>
      </c>
      <c r="BJ924" s="1" t="s">
        <v>74</v>
      </c>
      <c r="BK924" s="1" t="s">
        <v>74</v>
      </c>
      <c r="BL924" s="1" t="s">
        <v>74</v>
      </c>
      <c r="BM924" s="1" t="s">
        <v>74</v>
      </c>
      <c r="BN924" s="1">
        <v>3.0122216E7</v>
      </c>
      <c r="BO924" s="1" t="s">
        <v>74</v>
      </c>
      <c r="BP924" s="1" t="s">
        <v>74</v>
      </c>
      <c r="BQ924" s="1" t="s">
        <v>74</v>
      </c>
      <c r="BR924" s="1" t="s">
        <v>74</v>
      </c>
      <c r="BS924" s="1" t="s">
        <v>9164</v>
      </c>
      <c r="BT924" s="1" t="str">
        <f>HYPERLINK("https%3A%2F%2Fwww.webofscience.com%2Fwos%2Fwoscc%2Ffull-record%2FWOS:000441735300018","View Full Record in Web of Science")</f>
        <v>View Full Record in Web of Science</v>
      </c>
    </row>
    <row r="925" ht="12.75" customHeight="1">
      <c r="A925" s="1" t="s">
        <v>72</v>
      </c>
      <c r="B925" s="1" t="s">
        <v>8353</v>
      </c>
      <c r="C925" s="1" t="s">
        <v>74</v>
      </c>
      <c r="D925" s="1" t="s">
        <v>74</v>
      </c>
      <c r="E925" s="1" t="s">
        <v>74</v>
      </c>
      <c r="F925" s="1" t="s">
        <v>8354</v>
      </c>
      <c r="G925" s="1" t="s">
        <v>74</v>
      </c>
      <c r="H925" s="1" t="s">
        <v>74</v>
      </c>
      <c r="I925" s="1" t="s">
        <v>9165</v>
      </c>
      <c r="J925" s="1" t="s">
        <v>2731</v>
      </c>
      <c r="K925" s="1" t="s">
        <v>74</v>
      </c>
      <c r="L925" s="1" t="s">
        <v>74</v>
      </c>
      <c r="M925" s="1" t="s">
        <v>74</v>
      </c>
      <c r="N925" s="1" t="s">
        <v>74</v>
      </c>
      <c r="O925" s="1" t="s">
        <v>74</v>
      </c>
      <c r="P925" s="1" t="s">
        <v>74</v>
      </c>
      <c r="Q925" s="1" t="s">
        <v>74</v>
      </c>
      <c r="R925" s="1" t="s">
        <v>74</v>
      </c>
      <c r="S925" s="1" t="s">
        <v>74</v>
      </c>
      <c r="T925" s="1" t="s">
        <v>74</v>
      </c>
      <c r="U925" s="1" t="s">
        <v>74</v>
      </c>
      <c r="V925" s="1" t="s">
        <v>74</v>
      </c>
      <c r="W925" s="1" t="s">
        <v>74</v>
      </c>
      <c r="X925" s="1" t="s">
        <v>74</v>
      </c>
      <c r="Y925" s="1" t="s">
        <v>74</v>
      </c>
      <c r="Z925" s="1" t="s">
        <v>74</v>
      </c>
      <c r="AA925" s="1" t="s">
        <v>9166</v>
      </c>
      <c r="AB925" s="1" t="s">
        <v>9167</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74</v>
      </c>
      <c r="AP925" s="1" t="s">
        <v>2735</v>
      </c>
      <c r="AQ925" s="1" t="s">
        <v>74</v>
      </c>
      <c r="AR925" s="1" t="s">
        <v>74</v>
      </c>
      <c r="AS925" s="1" t="s">
        <v>74</v>
      </c>
      <c r="AT925" s="1" t="s">
        <v>202</v>
      </c>
      <c r="AU925" s="1">
        <v>2023.0</v>
      </c>
      <c r="AV925" s="1">
        <v>9.0</v>
      </c>
      <c r="AW925" s="1">
        <v>6.0</v>
      </c>
      <c r="AX925" s="1" t="s">
        <v>74</v>
      </c>
      <c r="AY925" s="1" t="s">
        <v>74</v>
      </c>
      <c r="AZ925" s="1" t="s">
        <v>74</v>
      </c>
      <c r="BA925" s="1" t="s">
        <v>74</v>
      </c>
      <c r="BB925" s="1" t="s">
        <v>74</v>
      </c>
      <c r="BC925" s="1" t="s">
        <v>74</v>
      </c>
      <c r="BD925" s="1" t="s">
        <v>9168</v>
      </c>
      <c r="BE925" s="1" t="s">
        <v>9169</v>
      </c>
      <c r="BF925" s="2" t="str">
        <f>HYPERLINK("http://dx.doi.org/10.1016/j.heliyon.2023.e16551","http://dx.doi.org/10.1016/j.heliyon.2023.e16551")</f>
        <v>http://dx.doi.org/10.1016/j.heliyon.2023.e16551</v>
      </c>
      <c r="BG925" s="1" t="s">
        <v>74</v>
      </c>
      <c r="BH925" s="1" t="s">
        <v>3540</v>
      </c>
      <c r="BI925" s="1" t="s">
        <v>74</v>
      </c>
      <c r="BJ925" s="1" t="s">
        <v>74</v>
      </c>
      <c r="BK925" s="1" t="s">
        <v>74</v>
      </c>
      <c r="BL925" s="1" t="s">
        <v>74</v>
      </c>
      <c r="BM925" s="1" t="s">
        <v>74</v>
      </c>
      <c r="BN925" s="1">
        <v>3.7484411E7</v>
      </c>
      <c r="BO925" s="1" t="s">
        <v>74</v>
      </c>
      <c r="BP925" s="1" t="s">
        <v>74</v>
      </c>
      <c r="BQ925" s="1" t="s">
        <v>74</v>
      </c>
      <c r="BR925" s="1" t="s">
        <v>74</v>
      </c>
      <c r="BS925" s="1" t="s">
        <v>9170</v>
      </c>
      <c r="BT925" s="1" t="str">
        <f>HYPERLINK("https%3A%2F%2Fwww.webofscience.com%2Fwos%2Fwoscc%2Ffull-record%2FWOS:001049085000001","View Full Record in Web of Science")</f>
        <v>View Full Record in Web of Science</v>
      </c>
    </row>
    <row r="926" ht="12.75" customHeight="1">
      <c r="A926" s="1" t="s">
        <v>72</v>
      </c>
      <c r="B926" s="1" t="s">
        <v>9171</v>
      </c>
      <c r="C926" s="1" t="s">
        <v>74</v>
      </c>
      <c r="D926" s="1" t="s">
        <v>74</v>
      </c>
      <c r="E926" s="1" t="s">
        <v>74</v>
      </c>
      <c r="F926" s="1" t="s">
        <v>9172</v>
      </c>
      <c r="G926" s="1" t="s">
        <v>74</v>
      </c>
      <c r="H926" s="1" t="s">
        <v>74</v>
      </c>
      <c r="I926" s="1" t="s">
        <v>9173</v>
      </c>
      <c r="J926" s="1" t="s">
        <v>9174</v>
      </c>
      <c r="K926" s="1" t="s">
        <v>74</v>
      </c>
      <c r="L926" s="1" t="s">
        <v>74</v>
      </c>
      <c r="M926" s="1" t="s">
        <v>74</v>
      </c>
      <c r="N926" s="1" t="s">
        <v>74</v>
      </c>
      <c r="O926" s="1" t="s">
        <v>74</v>
      </c>
      <c r="P926" s="1" t="s">
        <v>74</v>
      </c>
      <c r="Q926" s="1" t="s">
        <v>74</v>
      </c>
      <c r="R926" s="1" t="s">
        <v>74</v>
      </c>
      <c r="S926" s="1" t="s">
        <v>74</v>
      </c>
      <c r="T926" s="1" t="s">
        <v>74</v>
      </c>
      <c r="U926" s="1" t="s">
        <v>74</v>
      </c>
      <c r="V926" s="1" t="s">
        <v>9175</v>
      </c>
      <c r="W926" s="1" t="s">
        <v>74</v>
      </c>
      <c r="X926" s="1" t="s">
        <v>74</v>
      </c>
      <c r="Y926" s="1" t="s">
        <v>74</v>
      </c>
      <c r="Z926" s="1" t="s">
        <v>74</v>
      </c>
      <c r="AA926" s="1" t="s">
        <v>9176</v>
      </c>
      <c r="AB926" s="1" t="s">
        <v>9177</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9178</v>
      </c>
      <c r="AP926" s="1" t="s">
        <v>9179</v>
      </c>
      <c r="AQ926" s="1" t="s">
        <v>74</v>
      </c>
      <c r="AR926" s="1" t="s">
        <v>74</v>
      </c>
      <c r="AS926" s="1" t="s">
        <v>74</v>
      </c>
      <c r="AT926" s="1" t="s">
        <v>264</v>
      </c>
      <c r="AU926" s="1">
        <v>2020.0</v>
      </c>
      <c r="AV926" s="1">
        <v>29.0</v>
      </c>
      <c r="AW926" s="1">
        <v>1.0</v>
      </c>
      <c r="AX926" s="1" t="s">
        <v>74</v>
      </c>
      <c r="AY926" s="1" t="s">
        <v>74</v>
      </c>
      <c r="AZ926" s="1" t="s">
        <v>448</v>
      </c>
      <c r="BA926" s="1" t="s">
        <v>74</v>
      </c>
      <c r="BB926" s="1">
        <v>71.0</v>
      </c>
      <c r="BC926" s="1">
        <v>81.0</v>
      </c>
      <c r="BD926" s="1" t="s">
        <v>74</v>
      </c>
      <c r="BE926" s="1" t="s">
        <v>9180</v>
      </c>
      <c r="BF926" s="2" t="str">
        <f>HYPERLINK("http://dx.doi.org/10.1007/s00787-019-01454-x","http://dx.doi.org/10.1007/s00787-019-01454-x")</f>
        <v>http://dx.doi.org/10.1007/s00787-019-01454-x</v>
      </c>
      <c r="BG926" s="1" t="s">
        <v>74</v>
      </c>
      <c r="BH926" s="1" t="s">
        <v>5339</v>
      </c>
      <c r="BI926" s="1" t="s">
        <v>74</v>
      </c>
      <c r="BJ926" s="1" t="s">
        <v>74</v>
      </c>
      <c r="BK926" s="1" t="s">
        <v>74</v>
      </c>
      <c r="BL926" s="1" t="s">
        <v>74</v>
      </c>
      <c r="BM926" s="1" t="s">
        <v>74</v>
      </c>
      <c r="BN926" s="1">
        <v>3.1802272E7</v>
      </c>
      <c r="BO926" s="1" t="s">
        <v>74</v>
      </c>
      <c r="BP926" s="1" t="s">
        <v>74</v>
      </c>
      <c r="BQ926" s="1" t="s">
        <v>74</v>
      </c>
      <c r="BR926" s="1" t="s">
        <v>74</v>
      </c>
      <c r="BS926" s="1" t="s">
        <v>9181</v>
      </c>
      <c r="BT926" s="1" t="str">
        <f>HYPERLINK("https%3A%2F%2Fwww.webofscience.com%2Fwos%2Fwoscc%2Ffull-record%2FWOS:000500602800002","View Full Record in Web of Science")</f>
        <v>View Full Record in Web of Science</v>
      </c>
    </row>
    <row r="927" ht="12.75" customHeight="1">
      <c r="A927" s="1" t="s">
        <v>72</v>
      </c>
      <c r="B927" s="1" t="s">
        <v>9182</v>
      </c>
      <c r="C927" s="1" t="s">
        <v>74</v>
      </c>
      <c r="D927" s="1" t="s">
        <v>74</v>
      </c>
      <c r="E927" s="1" t="s">
        <v>74</v>
      </c>
      <c r="F927" s="1" t="s">
        <v>9183</v>
      </c>
      <c r="G927" s="1" t="s">
        <v>74</v>
      </c>
      <c r="H927" s="1" t="s">
        <v>74</v>
      </c>
      <c r="I927" s="1" t="s">
        <v>9184</v>
      </c>
      <c r="J927" s="1" t="s">
        <v>7468</v>
      </c>
      <c r="K927" s="1" t="s">
        <v>74</v>
      </c>
      <c r="L927" s="1" t="s">
        <v>74</v>
      </c>
      <c r="M927" s="1" t="s">
        <v>74</v>
      </c>
      <c r="N927" s="1" t="s">
        <v>74</v>
      </c>
      <c r="O927" s="1" t="s">
        <v>74</v>
      </c>
      <c r="P927" s="1" t="s">
        <v>74</v>
      </c>
      <c r="Q927" s="1" t="s">
        <v>74</v>
      </c>
      <c r="R927" s="1" t="s">
        <v>74</v>
      </c>
      <c r="S927" s="1" t="s">
        <v>74</v>
      </c>
      <c r="T927" s="1" t="s">
        <v>74</v>
      </c>
      <c r="U927" s="1" t="s">
        <v>74</v>
      </c>
      <c r="V927" s="1" t="s">
        <v>9185</v>
      </c>
      <c r="W927" s="1" t="s">
        <v>74</v>
      </c>
      <c r="X927" s="1" t="s">
        <v>74</v>
      </c>
      <c r="Y927" s="1" t="s">
        <v>74</v>
      </c>
      <c r="Z927" s="1" t="s">
        <v>74</v>
      </c>
      <c r="AA927" s="1" t="s">
        <v>9186</v>
      </c>
      <c r="AB927" s="1" t="s">
        <v>9187</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74</v>
      </c>
      <c r="AP927" s="1" t="s">
        <v>7472</v>
      </c>
      <c r="AQ927" s="1" t="s">
        <v>74</v>
      </c>
      <c r="AR927" s="1" t="s">
        <v>74</v>
      </c>
      <c r="AS927" s="1" t="s">
        <v>74</v>
      </c>
      <c r="AT927" s="1" t="s">
        <v>3499</v>
      </c>
      <c r="AU927" s="1">
        <v>2023.0</v>
      </c>
      <c r="AV927" s="1">
        <v>23.0</v>
      </c>
      <c r="AW927" s="1">
        <v>1.0</v>
      </c>
      <c r="AX927" s="1" t="s">
        <v>74</v>
      </c>
      <c r="AY927" s="1" t="s">
        <v>74</v>
      </c>
      <c r="AZ927" s="1" t="s">
        <v>74</v>
      </c>
      <c r="BA927" s="1" t="s">
        <v>74</v>
      </c>
      <c r="BB927" s="1" t="s">
        <v>74</v>
      </c>
      <c r="BC927" s="1" t="s">
        <v>74</v>
      </c>
      <c r="BD927" s="1">
        <v>2113.0</v>
      </c>
      <c r="BE927" s="1" t="s">
        <v>9188</v>
      </c>
      <c r="BF927" s="2" t="str">
        <f>HYPERLINK("http://dx.doi.org/10.1186/s12889-023-17014-7","http://dx.doi.org/10.1186/s12889-023-17014-7")</f>
        <v>http://dx.doi.org/10.1186/s12889-023-17014-7</v>
      </c>
      <c r="BG927" s="1" t="s">
        <v>74</v>
      </c>
      <c r="BH927" s="1" t="s">
        <v>74</v>
      </c>
      <c r="BI927" s="1" t="s">
        <v>74</v>
      </c>
      <c r="BJ927" s="1" t="s">
        <v>74</v>
      </c>
      <c r="BK927" s="1" t="s">
        <v>74</v>
      </c>
      <c r="BL927" s="1" t="s">
        <v>74</v>
      </c>
      <c r="BM927" s="1" t="s">
        <v>74</v>
      </c>
      <c r="BN927" s="1">
        <v>3.7891589E7</v>
      </c>
      <c r="BO927" s="1" t="s">
        <v>74</v>
      </c>
      <c r="BP927" s="1" t="s">
        <v>74</v>
      </c>
      <c r="BQ927" s="1" t="s">
        <v>74</v>
      </c>
      <c r="BR927" s="1" t="s">
        <v>74</v>
      </c>
      <c r="BS927" s="1" t="s">
        <v>9189</v>
      </c>
      <c r="BT927" s="1" t="str">
        <f>HYPERLINK("https%3A%2F%2Fwww.webofscience.com%2Fwos%2Fwoscc%2Ffull-record%2FWOS:001094219700004","View Full Record in Web of Science")</f>
        <v>View Full Record in Web of Science</v>
      </c>
    </row>
    <row r="928" ht="12.75" customHeight="1">
      <c r="A928" s="1" t="s">
        <v>72</v>
      </c>
      <c r="B928" s="1" t="s">
        <v>9190</v>
      </c>
      <c r="C928" s="1" t="s">
        <v>74</v>
      </c>
      <c r="D928" s="1" t="s">
        <v>74</v>
      </c>
      <c r="E928" s="1" t="s">
        <v>74</v>
      </c>
      <c r="F928" s="1" t="s">
        <v>9191</v>
      </c>
      <c r="G928" s="1" t="s">
        <v>74</v>
      </c>
      <c r="H928" s="1" t="s">
        <v>74</v>
      </c>
      <c r="I928" s="1" t="s">
        <v>9192</v>
      </c>
      <c r="J928" s="1" t="s">
        <v>136</v>
      </c>
      <c r="K928" s="1" t="s">
        <v>74</v>
      </c>
      <c r="L928" s="1" t="s">
        <v>74</v>
      </c>
      <c r="M928" s="1" t="s">
        <v>74</v>
      </c>
      <c r="N928" s="1" t="s">
        <v>74</v>
      </c>
      <c r="O928" s="1" t="s">
        <v>74</v>
      </c>
      <c r="P928" s="1" t="s">
        <v>74</v>
      </c>
      <c r="Q928" s="1" t="s">
        <v>74</v>
      </c>
      <c r="R928" s="1" t="s">
        <v>74</v>
      </c>
      <c r="S928" s="1" t="s">
        <v>74</v>
      </c>
      <c r="T928" s="1" t="s">
        <v>74</v>
      </c>
      <c r="U928" s="1" t="s">
        <v>74</v>
      </c>
      <c r="V928" s="1" t="s">
        <v>9193</v>
      </c>
      <c r="W928" s="1" t="s">
        <v>74</v>
      </c>
      <c r="X928" s="1" t="s">
        <v>74</v>
      </c>
      <c r="Y928" s="1" t="s">
        <v>74</v>
      </c>
      <c r="Z928" s="1" t="s">
        <v>74</v>
      </c>
      <c r="AA928" s="1" t="s">
        <v>9194</v>
      </c>
      <c r="AB928" s="1" t="s">
        <v>9195</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74</v>
      </c>
      <c r="AP928" s="1" t="s">
        <v>140</v>
      </c>
      <c r="AQ928" s="1" t="s">
        <v>74</v>
      </c>
      <c r="AR928" s="1" t="s">
        <v>74</v>
      </c>
      <c r="AS928" s="1" t="s">
        <v>74</v>
      </c>
      <c r="AT928" s="1" t="s">
        <v>94</v>
      </c>
      <c r="AU928" s="1">
        <v>2024.0</v>
      </c>
      <c r="AV928" s="1">
        <v>13.0</v>
      </c>
      <c r="AW928" s="1">
        <v>23.0</v>
      </c>
      <c r="AX928" s="1" t="s">
        <v>74</v>
      </c>
      <c r="AY928" s="1" t="s">
        <v>74</v>
      </c>
      <c r="AZ928" s="1" t="s">
        <v>74</v>
      </c>
      <c r="BA928" s="1" t="s">
        <v>74</v>
      </c>
      <c r="BB928" s="1" t="s">
        <v>74</v>
      </c>
      <c r="BC928" s="1" t="s">
        <v>74</v>
      </c>
      <c r="BD928" s="1">
        <v>7250.0</v>
      </c>
      <c r="BE928" s="1" t="s">
        <v>9196</v>
      </c>
      <c r="BF928" s="2" t="str">
        <f>HYPERLINK("http://dx.doi.org/10.3390/jcm13237250","http://dx.doi.org/10.3390/jcm13237250")</f>
        <v>http://dx.doi.org/10.3390/jcm13237250</v>
      </c>
      <c r="BG928" s="1" t="s">
        <v>74</v>
      </c>
      <c r="BH928" s="1" t="s">
        <v>74</v>
      </c>
      <c r="BI928" s="1" t="s">
        <v>74</v>
      </c>
      <c r="BJ928" s="1" t="s">
        <v>74</v>
      </c>
      <c r="BK928" s="1" t="s">
        <v>74</v>
      </c>
      <c r="BL928" s="1" t="s">
        <v>74</v>
      </c>
      <c r="BM928" s="1" t="s">
        <v>74</v>
      </c>
      <c r="BN928" s="1">
        <v>3.9685709E7</v>
      </c>
      <c r="BO928" s="1" t="s">
        <v>74</v>
      </c>
      <c r="BP928" s="1" t="s">
        <v>74</v>
      </c>
      <c r="BQ928" s="1" t="s">
        <v>74</v>
      </c>
      <c r="BR928" s="1" t="s">
        <v>74</v>
      </c>
      <c r="BS928" s="1" t="s">
        <v>9197</v>
      </c>
      <c r="BT928" s="1" t="str">
        <f>HYPERLINK("https%3A%2F%2Fwww.webofscience.com%2Fwos%2Fwoscc%2Ffull-record%2FWOS:001377289100001","View Full Record in Web of Science")</f>
        <v>View Full Record in Web of Science</v>
      </c>
    </row>
    <row r="929" ht="12.75" customHeight="1">
      <c r="A929" s="1" t="s">
        <v>72</v>
      </c>
      <c r="B929" s="1" t="s">
        <v>9198</v>
      </c>
      <c r="C929" s="1" t="s">
        <v>74</v>
      </c>
      <c r="D929" s="1" t="s">
        <v>74</v>
      </c>
      <c r="E929" s="1" t="s">
        <v>74</v>
      </c>
      <c r="F929" s="1" t="s">
        <v>9199</v>
      </c>
      <c r="G929" s="1" t="s">
        <v>74</v>
      </c>
      <c r="H929" s="1" t="s">
        <v>74</v>
      </c>
      <c r="I929" s="1" t="s">
        <v>9200</v>
      </c>
      <c r="J929" s="1" t="s">
        <v>4317</v>
      </c>
      <c r="K929" s="1" t="s">
        <v>74</v>
      </c>
      <c r="L929" s="1" t="s">
        <v>74</v>
      </c>
      <c r="M929" s="1" t="s">
        <v>74</v>
      </c>
      <c r="N929" s="1" t="s">
        <v>74</v>
      </c>
      <c r="O929" s="1" t="s">
        <v>74</v>
      </c>
      <c r="P929" s="1" t="s">
        <v>74</v>
      </c>
      <c r="Q929" s="1" t="s">
        <v>74</v>
      </c>
      <c r="R929" s="1" t="s">
        <v>74</v>
      </c>
      <c r="S929" s="1" t="s">
        <v>74</v>
      </c>
      <c r="T929" s="1" t="s">
        <v>74</v>
      </c>
      <c r="U929" s="1" t="s">
        <v>74</v>
      </c>
      <c r="V929" s="1" t="s">
        <v>9201</v>
      </c>
      <c r="W929" s="1" t="s">
        <v>74</v>
      </c>
      <c r="X929" s="1" t="s">
        <v>74</v>
      </c>
      <c r="Y929" s="1" t="s">
        <v>74</v>
      </c>
      <c r="Z929" s="1" t="s">
        <v>74</v>
      </c>
      <c r="AA929" s="1" t="s">
        <v>9202</v>
      </c>
      <c r="AB929" s="1" t="s">
        <v>9203</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4321</v>
      </c>
      <c r="AP929" s="1" t="s">
        <v>74</v>
      </c>
      <c r="AQ929" s="1" t="s">
        <v>74</v>
      </c>
      <c r="AR929" s="1" t="s">
        <v>74</v>
      </c>
      <c r="AS929" s="1" t="s">
        <v>74</v>
      </c>
      <c r="AT929" s="1" t="s">
        <v>9204</v>
      </c>
      <c r="AU929" s="1">
        <v>2022.0</v>
      </c>
      <c r="AV929" s="1">
        <v>13.0</v>
      </c>
      <c r="AW929" s="1" t="s">
        <v>74</v>
      </c>
      <c r="AX929" s="1" t="s">
        <v>74</v>
      </c>
      <c r="AY929" s="1" t="s">
        <v>74</v>
      </c>
      <c r="AZ929" s="1" t="s">
        <v>74</v>
      </c>
      <c r="BA929" s="1" t="s">
        <v>74</v>
      </c>
      <c r="BB929" s="1" t="s">
        <v>74</v>
      </c>
      <c r="BC929" s="1" t="s">
        <v>74</v>
      </c>
      <c r="BD929" s="1">
        <v>887591.0</v>
      </c>
      <c r="BE929" s="1" t="s">
        <v>9205</v>
      </c>
      <c r="BF929" s="2" t="str">
        <f>HYPERLINK("http://dx.doi.org/10.3389/fpsyg.2022.887591","http://dx.doi.org/10.3389/fpsyg.2022.887591")</f>
        <v>http://dx.doi.org/10.3389/fpsyg.2022.887591</v>
      </c>
      <c r="BG929" s="1" t="s">
        <v>74</v>
      </c>
      <c r="BH929" s="1" t="s">
        <v>74</v>
      </c>
      <c r="BI929" s="1" t="s">
        <v>74</v>
      </c>
      <c r="BJ929" s="1" t="s">
        <v>74</v>
      </c>
      <c r="BK929" s="1" t="s">
        <v>74</v>
      </c>
      <c r="BL929" s="1" t="s">
        <v>74</v>
      </c>
      <c r="BM929" s="1" t="s">
        <v>74</v>
      </c>
      <c r="BN929" s="1">
        <v>3.5814055E7</v>
      </c>
      <c r="BO929" s="1" t="s">
        <v>74</v>
      </c>
      <c r="BP929" s="1" t="s">
        <v>74</v>
      </c>
      <c r="BQ929" s="1" t="s">
        <v>74</v>
      </c>
      <c r="BR929" s="1" t="s">
        <v>74</v>
      </c>
      <c r="BS929" s="1" t="s">
        <v>9206</v>
      </c>
      <c r="BT929" s="1" t="str">
        <f>HYPERLINK("https%3A%2F%2Fwww.webofscience.com%2Fwos%2Fwoscc%2Ffull-record%2FWOS:000822670300001","View Full Record in Web of Science")</f>
        <v>View Full Record in Web of Science</v>
      </c>
    </row>
    <row r="930" ht="12.75" customHeight="1">
      <c r="A930" s="1" t="s">
        <v>72</v>
      </c>
      <c r="B930" s="1" t="s">
        <v>9207</v>
      </c>
      <c r="C930" s="1" t="s">
        <v>74</v>
      </c>
      <c r="D930" s="1" t="s">
        <v>74</v>
      </c>
      <c r="E930" s="1" t="s">
        <v>74</v>
      </c>
      <c r="F930" s="1" t="s">
        <v>9208</v>
      </c>
      <c r="G930" s="1" t="s">
        <v>74</v>
      </c>
      <c r="H930" s="1" t="s">
        <v>74</v>
      </c>
      <c r="I930" s="1" t="s">
        <v>9209</v>
      </c>
      <c r="J930" s="1" t="s">
        <v>480</v>
      </c>
      <c r="K930" s="1" t="s">
        <v>74</v>
      </c>
      <c r="L930" s="1" t="s">
        <v>74</v>
      </c>
      <c r="M930" s="1" t="s">
        <v>74</v>
      </c>
      <c r="N930" s="1" t="s">
        <v>74</v>
      </c>
      <c r="O930" s="1" t="s">
        <v>74</v>
      </c>
      <c r="P930" s="1" t="s">
        <v>74</v>
      </c>
      <c r="Q930" s="1" t="s">
        <v>74</v>
      </c>
      <c r="R930" s="1" t="s">
        <v>74</v>
      </c>
      <c r="S930" s="1" t="s">
        <v>74</v>
      </c>
      <c r="T930" s="1" t="s">
        <v>74</v>
      </c>
      <c r="U930" s="1" t="s">
        <v>74</v>
      </c>
      <c r="V930" s="1" t="s">
        <v>9210</v>
      </c>
      <c r="W930" s="1" t="s">
        <v>74</v>
      </c>
      <c r="X930" s="1" t="s">
        <v>74</v>
      </c>
      <c r="Y930" s="1" t="s">
        <v>74</v>
      </c>
      <c r="Z930" s="1" t="s">
        <v>74</v>
      </c>
      <c r="AA930" s="1" t="s">
        <v>9211</v>
      </c>
      <c r="AB930" s="1" t="s">
        <v>9212</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484</v>
      </c>
      <c r="AP930" s="1" t="s">
        <v>74</v>
      </c>
      <c r="AQ930" s="1" t="s">
        <v>74</v>
      </c>
      <c r="AR930" s="1" t="s">
        <v>74</v>
      </c>
      <c r="AS930" s="1" t="s">
        <v>74</v>
      </c>
      <c r="AT930" s="1" t="s">
        <v>8647</v>
      </c>
      <c r="AU930" s="1">
        <v>2025.0</v>
      </c>
      <c r="AV930" s="1">
        <v>15.0</v>
      </c>
      <c r="AW930" s="1">
        <v>1.0</v>
      </c>
      <c r="AX930" s="1" t="s">
        <v>74</v>
      </c>
      <c r="AY930" s="1" t="s">
        <v>74</v>
      </c>
      <c r="AZ930" s="1" t="s">
        <v>74</v>
      </c>
      <c r="BA930" s="1" t="s">
        <v>74</v>
      </c>
      <c r="BB930" s="1" t="s">
        <v>74</v>
      </c>
      <c r="BC930" s="1" t="s">
        <v>74</v>
      </c>
      <c r="BD930" s="1">
        <v>145.0</v>
      </c>
      <c r="BE930" s="1" t="s">
        <v>9213</v>
      </c>
      <c r="BF930" s="2" t="str">
        <f>HYPERLINK("http://dx.doi.org/10.1038/s41598-024-84104-w","http://dx.doi.org/10.1038/s41598-024-84104-w")</f>
        <v>http://dx.doi.org/10.1038/s41598-024-84104-w</v>
      </c>
      <c r="BG930" s="1" t="s">
        <v>74</v>
      </c>
      <c r="BH930" s="1" t="s">
        <v>74</v>
      </c>
      <c r="BI930" s="1" t="s">
        <v>74</v>
      </c>
      <c r="BJ930" s="1" t="s">
        <v>74</v>
      </c>
      <c r="BK930" s="1" t="s">
        <v>74</v>
      </c>
      <c r="BL930" s="1" t="s">
        <v>74</v>
      </c>
      <c r="BM930" s="1" t="s">
        <v>74</v>
      </c>
      <c r="BN930" s="1">
        <v>3.9747527E7</v>
      </c>
      <c r="BO930" s="1" t="s">
        <v>74</v>
      </c>
      <c r="BP930" s="1" t="s">
        <v>74</v>
      </c>
      <c r="BQ930" s="1" t="s">
        <v>74</v>
      </c>
      <c r="BR930" s="1" t="s">
        <v>74</v>
      </c>
      <c r="BS930" s="1" t="s">
        <v>9214</v>
      </c>
      <c r="BT930" s="1" t="str">
        <f>HYPERLINK("https%3A%2F%2Fwww.webofscience.com%2Fwos%2Fwoscc%2Ffull-record%2FWOS:001390049700005","View Full Record in Web of Science")</f>
        <v>View Full Record in Web of Science</v>
      </c>
    </row>
    <row r="931" ht="12.75" customHeight="1">
      <c r="A931" s="1" t="s">
        <v>72</v>
      </c>
      <c r="B931" s="1" t="s">
        <v>9215</v>
      </c>
      <c r="C931" s="1" t="s">
        <v>74</v>
      </c>
      <c r="D931" s="1" t="s">
        <v>74</v>
      </c>
      <c r="E931" s="1" t="s">
        <v>74</v>
      </c>
      <c r="F931" s="1" t="s">
        <v>9216</v>
      </c>
      <c r="G931" s="1" t="s">
        <v>74</v>
      </c>
      <c r="H931" s="1" t="s">
        <v>74</v>
      </c>
      <c r="I931" s="1" t="s">
        <v>9217</v>
      </c>
      <c r="J931" s="1" t="s">
        <v>9218</v>
      </c>
      <c r="K931" s="1" t="s">
        <v>74</v>
      </c>
      <c r="L931" s="1" t="s">
        <v>74</v>
      </c>
      <c r="M931" s="1" t="s">
        <v>74</v>
      </c>
      <c r="N931" s="1" t="s">
        <v>74</v>
      </c>
      <c r="O931" s="1" t="s">
        <v>74</v>
      </c>
      <c r="P931" s="1" t="s">
        <v>74</v>
      </c>
      <c r="Q931" s="1" t="s">
        <v>74</v>
      </c>
      <c r="R931" s="1" t="s">
        <v>74</v>
      </c>
      <c r="S931" s="1" t="s">
        <v>74</v>
      </c>
      <c r="T931" s="1" t="s">
        <v>74</v>
      </c>
      <c r="U931" s="1" t="s">
        <v>74</v>
      </c>
      <c r="V931" s="1" t="s">
        <v>9219</v>
      </c>
      <c r="W931" s="1" t="s">
        <v>74</v>
      </c>
      <c r="X931" s="1" t="s">
        <v>74</v>
      </c>
      <c r="Y931" s="1" t="s">
        <v>74</v>
      </c>
      <c r="Z931" s="1" t="s">
        <v>74</v>
      </c>
      <c r="AA931" s="1" t="s">
        <v>9220</v>
      </c>
      <c r="AB931" s="1" t="s">
        <v>9221</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9222</v>
      </c>
      <c r="AP931" s="1" t="s">
        <v>9223</v>
      </c>
      <c r="AQ931" s="1" t="s">
        <v>74</v>
      </c>
      <c r="AR931" s="1" t="s">
        <v>74</v>
      </c>
      <c r="AS931" s="1" t="s">
        <v>74</v>
      </c>
      <c r="AT931" s="1" t="s">
        <v>745</v>
      </c>
      <c r="AU931" s="1">
        <v>2024.0</v>
      </c>
      <c r="AV931" s="1">
        <v>153.0</v>
      </c>
      <c r="AW931" s="1">
        <v>7.0</v>
      </c>
      <c r="AX931" s="1" t="s">
        <v>74</v>
      </c>
      <c r="AY931" s="1" t="s">
        <v>74</v>
      </c>
      <c r="AZ931" s="1" t="s">
        <v>74</v>
      </c>
      <c r="BA931" s="1" t="s">
        <v>74</v>
      </c>
      <c r="BB931" s="1">
        <v>1725.0</v>
      </c>
      <c r="BC931" s="1">
        <v>1764.0</v>
      </c>
      <c r="BD931" s="1" t="s">
        <v>74</v>
      </c>
      <c r="BE931" s="1" t="s">
        <v>9224</v>
      </c>
      <c r="BF931" s="2" t="str">
        <f>HYPERLINK("http://dx.doi.org/10.1037/xge0001555","http://dx.doi.org/10.1037/xge0001555")</f>
        <v>http://dx.doi.org/10.1037/xge0001555</v>
      </c>
      <c r="BG931" s="1" t="s">
        <v>74</v>
      </c>
      <c r="BH931" s="1" t="s">
        <v>74</v>
      </c>
      <c r="BI931" s="1" t="s">
        <v>74</v>
      </c>
      <c r="BJ931" s="1" t="s">
        <v>74</v>
      </c>
      <c r="BK931" s="1" t="s">
        <v>74</v>
      </c>
      <c r="BL931" s="1" t="s">
        <v>74</v>
      </c>
      <c r="BM931" s="1" t="s">
        <v>74</v>
      </c>
      <c r="BN931" s="1">
        <v>3.8780562E7</v>
      </c>
      <c r="BO931" s="1" t="s">
        <v>74</v>
      </c>
      <c r="BP931" s="1" t="s">
        <v>74</v>
      </c>
      <c r="BQ931" s="1" t="s">
        <v>74</v>
      </c>
      <c r="BR931" s="1" t="s">
        <v>74</v>
      </c>
      <c r="BS931" s="1" t="s">
        <v>9225</v>
      </c>
      <c r="BT931" s="1" t="str">
        <f>HYPERLINK("https%3A%2F%2Fwww.webofscience.com%2Fwos%2Fwoscc%2Ffull-record%2FWOS:001327927800013","View Full Record in Web of Science")</f>
        <v>View Full Record in Web of Science</v>
      </c>
    </row>
    <row r="932" ht="12.75" customHeight="1">
      <c r="A932" s="1" t="s">
        <v>72</v>
      </c>
      <c r="B932" s="1" t="s">
        <v>9226</v>
      </c>
      <c r="C932" s="1" t="s">
        <v>74</v>
      </c>
      <c r="D932" s="1" t="s">
        <v>74</v>
      </c>
      <c r="E932" s="1" t="s">
        <v>74</v>
      </c>
      <c r="F932" s="1" t="s">
        <v>9227</v>
      </c>
      <c r="G932" s="1" t="s">
        <v>74</v>
      </c>
      <c r="H932" s="1" t="s">
        <v>74</v>
      </c>
      <c r="I932" s="1" t="s">
        <v>9228</v>
      </c>
      <c r="J932" s="1" t="s">
        <v>7441</v>
      </c>
      <c r="K932" s="1" t="s">
        <v>74</v>
      </c>
      <c r="L932" s="1" t="s">
        <v>74</v>
      </c>
      <c r="M932" s="1" t="s">
        <v>74</v>
      </c>
      <c r="N932" s="1" t="s">
        <v>74</v>
      </c>
      <c r="O932" s="1" t="s">
        <v>74</v>
      </c>
      <c r="P932" s="1" t="s">
        <v>74</v>
      </c>
      <c r="Q932" s="1" t="s">
        <v>74</v>
      </c>
      <c r="R932" s="1" t="s">
        <v>74</v>
      </c>
      <c r="S932" s="1" t="s">
        <v>74</v>
      </c>
      <c r="T932" s="1" t="s">
        <v>74</v>
      </c>
      <c r="U932" s="1" t="s">
        <v>74</v>
      </c>
      <c r="V932" s="1" t="s">
        <v>9229</v>
      </c>
      <c r="W932" s="1" t="s">
        <v>74</v>
      </c>
      <c r="X932" s="1" t="s">
        <v>74</v>
      </c>
      <c r="Y932" s="1" t="s">
        <v>74</v>
      </c>
      <c r="Z932" s="1" t="s">
        <v>74</v>
      </c>
      <c r="AA932" s="1" t="s">
        <v>9230</v>
      </c>
      <c r="AB932" s="1" t="s">
        <v>9231</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7445</v>
      </c>
      <c r="AP932" s="1" t="s">
        <v>7446</v>
      </c>
      <c r="AQ932" s="1" t="s">
        <v>74</v>
      </c>
      <c r="AR932" s="1" t="s">
        <v>74</v>
      </c>
      <c r="AS932" s="1" t="s">
        <v>74</v>
      </c>
      <c r="AT932" s="1" t="s">
        <v>9232</v>
      </c>
      <c r="AU932" s="1">
        <v>2024.0</v>
      </c>
      <c r="AV932" s="1" t="s">
        <v>74</v>
      </c>
      <c r="AW932" s="1" t="s">
        <v>74</v>
      </c>
      <c r="AX932" s="1" t="s">
        <v>74</v>
      </c>
      <c r="AY932" s="1" t="s">
        <v>74</v>
      </c>
      <c r="AZ932" s="1" t="s">
        <v>74</v>
      </c>
      <c r="BA932" s="1" t="s">
        <v>74</v>
      </c>
      <c r="BB932" s="1" t="s">
        <v>74</v>
      </c>
      <c r="BC932" s="1" t="s">
        <v>74</v>
      </c>
      <c r="BD932" s="1" t="s">
        <v>74</v>
      </c>
      <c r="BE932" s="1" t="s">
        <v>9233</v>
      </c>
      <c r="BF932" s="2" t="str">
        <f>HYPERLINK("http://dx.doi.org/10.1021/acs.jctc.4c00275","http://dx.doi.org/10.1021/acs.jctc.4c00275")</f>
        <v>http://dx.doi.org/10.1021/acs.jctc.4c00275</v>
      </c>
      <c r="BG932" s="1" t="s">
        <v>74</v>
      </c>
      <c r="BH932" s="1" t="s">
        <v>702</v>
      </c>
      <c r="BI932" s="1" t="s">
        <v>74</v>
      </c>
      <c r="BJ932" s="1" t="s">
        <v>74</v>
      </c>
      <c r="BK932" s="1" t="s">
        <v>74</v>
      </c>
      <c r="BL932" s="1" t="s">
        <v>74</v>
      </c>
      <c r="BM932" s="1" t="s">
        <v>74</v>
      </c>
      <c r="BN932" s="1">
        <v>3.8924075E7</v>
      </c>
      <c r="BO932" s="1" t="s">
        <v>74</v>
      </c>
      <c r="BP932" s="1" t="s">
        <v>74</v>
      </c>
      <c r="BQ932" s="1" t="s">
        <v>74</v>
      </c>
      <c r="BR932" s="1" t="s">
        <v>74</v>
      </c>
      <c r="BS932" s="1" t="s">
        <v>9234</v>
      </c>
      <c r="BT932" s="1" t="str">
        <f>HYPERLINK("https%3A%2F%2Fwww.webofscience.com%2Fwos%2Fwoscc%2Ffull-record%2FWOS:001255578900001","View Full Record in Web of Science")</f>
        <v>View Full Record in Web of Science</v>
      </c>
    </row>
    <row r="933" ht="12.75" customHeight="1">
      <c r="A933" s="1" t="s">
        <v>72</v>
      </c>
      <c r="B933" s="1" t="s">
        <v>9235</v>
      </c>
      <c r="C933" s="1" t="s">
        <v>74</v>
      </c>
      <c r="D933" s="1" t="s">
        <v>74</v>
      </c>
      <c r="E933" s="1" t="s">
        <v>74</v>
      </c>
      <c r="F933" s="1" t="s">
        <v>9236</v>
      </c>
      <c r="G933" s="1" t="s">
        <v>74</v>
      </c>
      <c r="H933" s="1" t="s">
        <v>74</v>
      </c>
      <c r="I933" s="1" t="s">
        <v>9237</v>
      </c>
      <c r="J933" s="1" t="s">
        <v>1923</v>
      </c>
      <c r="K933" s="1" t="s">
        <v>74</v>
      </c>
      <c r="L933" s="1" t="s">
        <v>74</v>
      </c>
      <c r="M933" s="1" t="s">
        <v>74</v>
      </c>
      <c r="N933" s="1" t="s">
        <v>74</v>
      </c>
      <c r="O933" s="1" t="s">
        <v>74</v>
      </c>
      <c r="P933" s="1" t="s">
        <v>74</v>
      </c>
      <c r="Q933" s="1" t="s">
        <v>74</v>
      </c>
      <c r="R933" s="1" t="s">
        <v>74</v>
      </c>
      <c r="S933" s="1" t="s">
        <v>74</v>
      </c>
      <c r="T933" s="1" t="s">
        <v>74</v>
      </c>
      <c r="U933" s="1" t="s">
        <v>74</v>
      </c>
      <c r="V933" s="1" t="s">
        <v>9238</v>
      </c>
      <c r="W933" s="1" t="s">
        <v>74</v>
      </c>
      <c r="X933" s="1" t="s">
        <v>74</v>
      </c>
      <c r="Y933" s="1" t="s">
        <v>74</v>
      </c>
      <c r="Z933" s="1" t="s">
        <v>74</v>
      </c>
      <c r="AA933" s="1" t="s">
        <v>9239</v>
      </c>
      <c r="AB933" s="1" t="s">
        <v>9240</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1927</v>
      </c>
      <c r="AP933" s="1" t="s">
        <v>1928</v>
      </c>
      <c r="AQ933" s="1" t="s">
        <v>74</v>
      </c>
      <c r="AR933" s="1" t="s">
        <v>74</v>
      </c>
      <c r="AS933" s="1" t="s">
        <v>74</v>
      </c>
      <c r="AT933" s="1" t="s">
        <v>264</v>
      </c>
      <c r="AU933" s="1">
        <v>2021.0</v>
      </c>
      <c r="AV933" s="1">
        <v>31.0</v>
      </c>
      <c r="AW933" s="1">
        <v>1.0</v>
      </c>
      <c r="AX933" s="1" t="s">
        <v>74</v>
      </c>
      <c r="AY933" s="1" t="s">
        <v>74</v>
      </c>
      <c r="AZ933" s="1" t="s">
        <v>74</v>
      </c>
      <c r="BA933" s="1" t="s">
        <v>74</v>
      </c>
      <c r="BB933" s="1">
        <v>184.0</v>
      </c>
      <c r="BC933" s="1">
        <v>192.0</v>
      </c>
      <c r="BD933" s="1" t="s">
        <v>74</v>
      </c>
      <c r="BE933" s="1" t="s">
        <v>9241</v>
      </c>
      <c r="BF933" s="2" t="str">
        <f>HYPERLINK("http://dx.doi.org/10.1111/sms.13817","http://dx.doi.org/10.1111/sms.13817")</f>
        <v>http://dx.doi.org/10.1111/sms.13817</v>
      </c>
      <c r="BG933" s="1" t="s">
        <v>74</v>
      </c>
      <c r="BH933" s="1" t="s">
        <v>6644</v>
      </c>
      <c r="BI933" s="1" t="s">
        <v>74</v>
      </c>
      <c r="BJ933" s="1" t="s">
        <v>74</v>
      </c>
      <c r="BK933" s="1" t="s">
        <v>74</v>
      </c>
      <c r="BL933" s="1" t="s">
        <v>74</v>
      </c>
      <c r="BM933" s="1" t="s">
        <v>74</v>
      </c>
      <c r="BN933" s="1">
        <v>3.2881093E7</v>
      </c>
      <c r="BO933" s="1" t="s">
        <v>74</v>
      </c>
      <c r="BP933" s="1" t="s">
        <v>74</v>
      </c>
      <c r="BQ933" s="1" t="s">
        <v>74</v>
      </c>
      <c r="BR933" s="1" t="s">
        <v>74</v>
      </c>
      <c r="BS933" s="1" t="s">
        <v>9242</v>
      </c>
      <c r="BT933" s="1" t="str">
        <f>HYPERLINK("https%3A%2F%2Fwww.webofscience.com%2Fwos%2Fwoscc%2Ffull-record%2FWOS:000569761600001","View Full Record in Web of Science")</f>
        <v>View Full Record in Web of Science</v>
      </c>
    </row>
    <row r="934" ht="12.75" customHeight="1">
      <c r="A934" s="1" t="s">
        <v>72</v>
      </c>
      <c r="B934" s="1" t="s">
        <v>9243</v>
      </c>
      <c r="C934" s="1" t="s">
        <v>74</v>
      </c>
      <c r="D934" s="1" t="s">
        <v>74</v>
      </c>
      <c r="E934" s="1" t="s">
        <v>74</v>
      </c>
      <c r="F934" s="1" t="s">
        <v>9244</v>
      </c>
      <c r="G934" s="1" t="s">
        <v>74</v>
      </c>
      <c r="H934" s="1" t="s">
        <v>74</v>
      </c>
      <c r="I934" s="1" t="s">
        <v>9245</v>
      </c>
      <c r="J934" s="1" t="s">
        <v>904</v>
      </c>
      <c r="K934" s="1" t="s">
        <v>74</v>
      </c>
      <c r="L934" s="1" t="s">
        <v>74</v>
      </c>
      <c r="M934" s="1" t="s">
        <v>74</v>
      </c>
      <c r="N934" s="1" t="s">
        <v>74</v>
      </c>
      <c r="O934" s="1" t="s">
        <v>74</v>
      </c>
      <c r="P934" s="1" t="s">
        <v>74</v>
      </c>
      <c r="Q934" s="1" t="s">
        <v>74</v>
      </c>
      <c r="R934" s="1" t="s">
        <v>74</v>
      </c>
      <c r="S934" s="1" t="s">
        <v>74</v>
      </c>
      <c r="T934" s="1" t="s">
        <v>74</v>
      </c>
      <c r="U934" s="1" t="s">
        <v>74</v>
      </c>
      <c r="V934" s="1" t="s">
        <v>9246</v>
      </c>
      <c r="W934" s="1" t="s">
        <v>74</v>
      </c>
      <c r="X934" s="1" t="s">
        <v>74</v>
      </c>
      <c r="Y934" s="1" t="s">
        <v>74</v>
      </c>
      <c r="Z934" s="1" t="s">
        <v>74</v>
      </c>
      <c r="AA934" s="1" t="s">
        <v>9247</v>
      </c>
      <c r="AB934" s="1" t="s">
        <v>9248</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906</v>
      </c>
      <c r="AP934" s="1" t="s">
        <v>74</v>
      </c>
      <c r="AQ934" s="1" t="s">
        <v>74</v>
      </c>
      <c r="AR934" s="1" t="s">
        <v>74</v>
      </c>
      <c r="AS934" s="1" t="s">
        <v>74</v>
      </c>
      <c r="AT934" s="1" t="s">
        <v>141</v>
      </c>
      <c r="AU934" s="1">
        <v>2021.0</v>
      </c>
      <c r="AV934" s="1">
        <v>20.0</v>
      </c>
      <c r="AW934" s="1">
        <v>5.0</v>
      </c>
      <c r="AX934" s="1" t="s">
        <v>74</v>
      </c>
      <c r="AY934" s="1" t="s">
        <v>74</v>
      </c>
      <c r="AZ934" s="1" t="s">
        <v>74</v>
      </c>
      <c r="BA934" s="1" t="s">
        <v>74</v>
      </c>
      <c r="BB934" s="1">
        <v>463.0</v>
      </c>
      <c r="BC934" s="1">
        <v>481.0</v>
      </c>
      <c r="BD934" s="1" t="s">
        <v>74</v>
      </c>
      <c r="BE934" s="1" t="s">
        <v>9249</v>
      </c>
      <c r="BF934" s="2" t="str">
        <f>HYPERLINK("http://dx.doi.org/10.37360/blacpma.21.20.5.34","http://dx.doi.org/10.37360/blacpma.21.20.5.34")</f>
        <v>http://dx.doi.org/10.37360/blacpma.21.20.5.34</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9250</v>
      </c>
      <c r="BT934" s="1" t="str">
        <f>HYPERLINK("https%3A%2F%2Fwww.webofscience.com%2Fwos%2Fwoscc%2Ffull-record%2FWOS:000674617300002","View Full Record in Web of Science")</f>
        <v>View Full Record in Web of Science</v>
      </c>
    </row>
    <row r="935" ht="12.75" customHeight="1">
      <c r="A935" s="1" t="s">
        <v>72</v>
      </c>
      <c r="B935" s="1" t="s">
        <v>9251</v>
      </c>
      <c r="C935" s="1" t="s">
        <v>74</v>
      </c>
      <c r="D935" s="1" t="s">
        <v>74</v>
      </c>
      <c r="E935" s="1" t="s">
        <v>74</v>
      </c>
      <c r="F935" s="1" t="s">
        <v>9252</v>
      </c>
      <c r="G935" s="1" t="s">
        <v>74</v>
      </c>
      <c r="H935" s="1" t="s">
        <v>74</v>
      </c>
      <c r="I935" s="1" t="s">
        <v>9253</v>
      </c>
      <c r="J935" s="1" t="s">
        <v>9254</v>
      </c>
      <c r="K935" s="1" t="s">
        <v>74</v>
      </c>
      <c r="L935" s="1" t="s">
        <v>74</v>
      </c>
      <c r="M935" s="1" t="s">
        <v>74</v>
      </c>
      <c r="N935" s="1" t="s">
        <v>74</v>
      </c>
      <c r="O935" s="1" t="s">
        <v>74</v>
      </c>
      <c r="P935" s="1" t="s">
        <v>74</v>
      </c>
      <c r="Q935" s="1" t="s">
        <v>74</v>
      </c>
      <c r="R935" s="1" t="s">
        <v>74</v>
      </c>
      <c r="S935" s="1" t="s">
        <v>74</v>
      </c>
      <c r="T935" s="1" t="s">
        <v>74</v>
      </c>
      <c r="U935" s="1" t="s">
        <v>74</v>
      </c>
      <c r="V935" s="1" t="s">
        <v>9255</v>
      </c>
      <c r="W935" s="1" t="s">
        <v>74</v>
      </c>
      <c r="X935" s="1" t="s">
        <v>74</v>
      </c>
      <c r="Y935" s="1" t="s">
        <v>74</v>
      </c>
      <c r="Z935" s="1" t="s">
        <v>74</v>
      </c>
      <c r="AA935" s="1" t="s">
        <v>9256</v>
      </c>
      <c r="AB935" s="1" t="s">
        <v>9257</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74</v>
      </c>
      <c r="AP935" s="1" t="s">
        <v>9258</v>
      </c>
      <c r="AQ935" s="1" t="s">
        <v>74</v>
      </c>
      <c r="AR935" s="1" t="s">
        <v>74</v>
      </c>
      <c r="AS935" s="1" t="s">
        <v>74</v>
      </c>
      <c r="AT935" s="1" t="s">
        <v>447</v>
      </c>
      <c r="AU935" s="1">
        <v>2021.0</v>
      </c>
      <c r="AV935" s="1">
        <v>10.0</v>
      </c>
      <c r="AW935" s="1">
        <v>8.0</v>
      </c>
      <c r="AX935" s="1" t="s">
        <v>74</v>
      </c>
      <c r="AY935" s="1" t="s">
        <v>74</v>
      </c>
      <c r="AZ935" s="1" t="s">
        <v>74</v>
      </c>
      <c r="BA935" s="1" t="s">
        <v>74</v>
      </c>
      <c r="BB935" s="1" t="s">
        <v>74</v>
      </c>
      <c r="BC935" s="1" t="s">
        <v>74</v>
      </c>
      <c r="BD935" s="1">
        <v>1008.0</v>
      </c>
      <c r="BE935" s="1" t="s">
        <v>9259</v>
      </c>
      <c r="BF935" s="2" t="str">
        <f>HYPERLINK("http://dx.doi.org/10.3390/pathogens10081008","http://dx.doi.org/10.3390/pathogens10081008")</f>
        <v>http://dx.doi.org/10.3390/pathogens10081008</v>
      </c>
      <c r="BG935" s="1" t="s">
        <v>74</v>
      </c>
      <c r="BH935" s="1" t="s">
        <v>74</v>
      </c>
      <c r="BI935" s="1" t="s">
        <v>74</v>
      </c>
      <c r="BJ935" s="1" t="s">
        <v>74</v>
      </c>
      <c r="BK935" s="1" t="s">
        <v>74</v>
      </c>
      <c r="BL935" s="1" t="s">
        <v>74</v>
      </c>
      <c r="BM935" s="1" t="s">
        <v>74</v>
      </c>
      <c r="BN935" s="1">
        <v>3.4451472E7</v>
      </c>
      <c r="BO935" s="1" t="s">
        <v>74</v>
      </c>
      <c r="BP935" s="1" t="s">
        <v>74</v>
      </c>
      <c r="BQ935" s="1" t="s">
        <v>74</v>
      </c>
      <c r="BR935" s="1" t="s">
        <v>74</v>
      </c>
      <c r="BS935" s="1" t="s">
        <v>9260</v>
      </c>
      <c r="BT935" s="1" t="str">
        <f>HYPERLINK("https%3A%2F%2Fwww.webofscience.com%2Fwos%2Fwoscc%2Ffull-record%2FWOS:000690062200001","View Full Record in Web of Science")</f>
        <v>View Full Record in Web of Science</v>
      </c>
    </row>
    <row r="936" ht="12.75" customHeight="1">
      <c r="A936" s="1" t="s">
        <v>72</v>
      </c>
      <c r="B936" s="1" t="s">
        <v>9261</v>
      </c>
      <c r="C936" s="1" t="s">
        <v>74</v>
      </c>
      <c r="D936" s="1" t="s">
        <v>74</v>
      </c>
      <c r="E936" s="1" t="s">
        <v>74</v>
      </c>
      <c r="F936" s="1" t="s">
        <v>9262</v>
      </c>
      <c r="G936" s="1" t="s">
        <v>74</v>
      </c>
      <c r="H936" s="1" t="s">
        <v>74</v>
      </c>
      <c r="I936" s="1" t="s">
        <v>9263</v>
      </c>
      <c r="J936" s="1" t="s">
        <v>1423</v>
      </c>
      <c r="K936" s="1" t="s">
        <v>74</v>
      </c>
      <c r="L936" s="1" t="s">
        <v>74</v>
      </c>
      <c r="M936" s="1" t="s">
        <v>74</v>
      </c>
      <c r="N936" s="1" t="s">
        <v>74</v>
      </c>
      <c r="O936" s="1" t="s">
        <v>74</v>
      </c>
      <c r="P936" s="1" t="s">
        <v>74</v>
      </c>
      <c r="Q936" s="1" t="s">
        <v>74</v>
      </c>
      <c r="R936" s="1" t="s">
        <v>74</v>
      </c>
      <c r="S936" s="1" t="s">
        <v>74</v>
      </c>
      <c r="T936" s="1" t="s">
        <v>74</v>
      </c>
      <c r="U936" s="1" t="s">
        <v>74</v>
      </c>
      <c r="V936" s="1" t="s">
        <v>9264</v>
      </c>
      <c r="W936" s="1" t="s">
        <v>74</v>
      </c>
      <c r="X936" s="1" t="s">
        <v>74</v>
      </c>
      <c r="Y936" s="1" t="s">
        <v>74</v>
      </c>
      <c r="Z936" s="1" t="s">
        <v>74</v>
      </c>
      <c r="AA936" s="1" t="s">
        <v>9265</v>
      </c>
      <c r="AB936" s="1" t="s">
        <v>9266</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74</v>
      </c>
      <c r="AP936" s="1" t="s">
        <v>1427</v>
      </c>
      <c r="AQ936" s="1" t="s">
        <v>74</v>
      </c>
      <c r="AR936" s="1" t="s">
        <v>74</v>
      </c>
      <c r="AS936" s="1" t="s">
        <v>74</v>
      </c>
      <c r="AT936" s="1" t="s">
        <v>130</v>
      </c>
      <c r="AU936" s="1">
        <v>2024.0</v>
      </c>
      <c r="AV936" s="1">
        <v>10.0</v>
      </c>
      <c r="AW936" s="1" t="s">
        <v>74</v>
      </c>
      <c r="AX936" s="1" t="s">
        <v>74</v>
      </c>
      <c r="AY936" s="1" t="s">
        <v>74</v>
      </c>
      <c r="AZ936" s="1" t="s">
        <v>74</v>
      </c>
      <c r="BA936" s="1" t="s">
        <v>74</v>
      </c>
      <c r="BB936" s="1" t="s">
        <v>74</v>
      </c>
      <c r="BC936" s="1" t="s">
        <v>74</v>
      </c>
      <c r="BD936" s="1">
        <v>1321172.0</v>
      </c>
      <c r="BE936" s="1" t="s">
        <v>9267</v>
      </c>
      <c r="BF936" s="2" t="str">
        <f>HYPERLINK("http://dx.doi.org/10.3389/fvets.2023.1321172","http://dx.doi.org/10.3389/fvets.2023.1321172")</f>
        <v>http://dx.doi.org/10.3389/fvets.2023.1321172</v>
      </c>
      <c r="BG936" s="1" t="s">
        <v>74</v>
      </c>
      <c r="BH936" s="1" t="s">
        <v>74</v>
      </c>
      <c r="BI936" s="1" t="s">
        <v>74</v>
      </c>
      <c r="BJ936" s="1" t="s">
        <v>74</v>
      </c>
      <c r="BK936" s="1" t="s">
        <v>74</v>
      </c>
      <c r="BL936" s="1" t="s">
        <v>74</v>
      </c>
      <c r="BM936" s="1" t="s">
        <v>74</v>
      </c>
      <c r="BN936" s="1">
        <v>3.8362467E7</v>
      </c>
      <c r="BO936" s="1" t="s">
        <v>74</v>
      </c>
      <c r="BP936" s="1" t="s">
        <v>74</v>
      </c>
      <c r="BQ936" s="1" t="s">
        <v>74</v>
      </c>
      <c r="BR936" s="1" t="s">
        <v>74</v>
      </c>
      <c r="BS936" s="1" t="s">
        <v>9268</v>
      </c>
      <c r="BT936" s="1" t="str">
        <f>HYPERLINK("https%3A%2F%2Fwww.webofscience.com%2Fwos%2Fwoscc%2Ffull-record%2FWOS:001161697100001","View Full Record in Web of Science")</f>
        <v>View Full Record in Web of Science</v>
      </c>
    </row>
    <row r="937" ht="12.75" customHeight="1">
      <c r="A937" s="1" t="s">
        <v>72</v>
      </c>
      <c r="B937" s="1" t="s">
        <v>9269</v>
      </c>
      <c r="C937" s="1" t="s">
        <v>74</v>
      </c>
      <c r="D937" s="1" t="s">
        <v>74</v>
      </c>
      <c r="E937" s="1" t="s">
        <v>74</v>
      </c>
      <c r="F937" s="1" t="s">
        <v>9270</v>
      </c>
      <c r="G937" s="1" t="s">
        <v>74</v>
      </c>
      <c r="H937" s="1" t="s">
        <v>74</v>
      </c>
      <c r="I937" s="1" t="s">
        <v>9271</v>
      </c>
      <c r="J937" s="1" t="s">
        <v>9272</v>
      </c>
      <c r="K937" s="1" t="s">
        <v>74</v>
      </c>
      <c r="L937" s="1" t="s">
        <v>74</v>
      </c>
      <c r="M937" s="1" t="s">
        <v>74</v>
      </c>
      <c r="N937" s="1" t="s">
        <v>74</v>
      </c>
      <c r="O937" s="1" t="s">
        <v>74</v>
      </c>
      <c r="P937" s="1" t="s">
        <v>74</v>
      </c>
      <c r="Q937" s="1" t="s">
        <v>74</v>
      </c>
      <c r="R937" s="1" t="s">
        <v>74</v>
      </c>
      <c r="S937" s="1" t="s">
        <v>74</v>
      </c>
      <c r="T937" s="1" t="s">
        <v>74</v>
      </c>
      <c r="U937" s="1" t="s">
        <v>74</v>
      </c>
      <c r="V937" s="1" t="s">
        <v>9273</v>
      </c>
      <c r="W937" s="1" t="s">
        <v>74</v>
      </c>
      <c r="X937" s="1" t="s">
        <v>74</v>
      </c>
      <c r="Y937" s="1" t="s">
        <v>74</v>
      </c>
      <c r="Z937" s="1" t="s">
        <v>74</v>
      </c>
      <c r="AA937" s="1" t="s">
        <v>9274</v>
      </c>
      <c r="AB937" s="1" t="s">
        <v>9275</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74</v>
      </c>
      <c r="AP937" s="1" t="s">
        <v>9276</v>
      </c>
      <c r="AQ937" s="1" t="s">
        <v>74</v>
      </c>
      <c r="AR937" s="1" t="s">
        <v>74</v>
      </c>
      <c r="AS937" s="1" t="s">
        <v>74</v>
      </c>
      <c r="AT937" s="1" t="s">
        <v>214</v>
      </c>
      <c r="AU937" s="1">
        <v>2021.0</v>
      </c>
      <c r="AV937" s="1">
        <v>11.0</v>
      </c>
      <c r="AW937" s="1">
        <v>2.0</v>
      </c>
      <c r="AX937" s="1" t="s">
        <v>74</v>
      </c>
      <c r="AY937" s="1" t="s">
        <v>74</v>
      </c>
      <c r="AZ937" s="1" t="s">
        <v>74</v>
      </c>
      <c r="BA937" s="1" t="s">
        <v>74</v>
      </c>
      <c r="BB937" s="1" t="s">
        <v>74</v>
      </c>
      <c r="BC937" s="1" t="s">
        <v>74</v>
      </c>
      <c r="BD937" s="1">
        <v>229.0</v>
      </c>
      <c r="BE937" s="1" t="s">
        <v>9277</v>
      </c>
      <c r="BF937" s="2" t="str">
        <f>HYPERLINK("http://dx.doi.org/10.3390/met11020229","http://dx.doi.org/10.3390/met11020229")</f>
        <v>http://dx.doi.org/10.3390/met11020229</v>
      </c>
      <c r="BG937" s="1" t="s">
        <v>74</v>
      </c>
      <c r="BH937" s="1" t="s">
        <v>74</v>
      </c>
      <c r="BI937" s="1" t="s">
        <v>74</v>
      </c>
      <c r="BJ937" s="1" t="s">
        <v>74</v>
      </c>
      <c r="BK937" s="1" t="s">
        <v>74</v>
      </c>
      <c r="BL937" s="1" t="s">
        <v>74</v>
      </c>
      <c r="BM937" s="1" t="s">
        <v>74</v>
      </c>
      <c r="BN937" s="1" t="s">
        <v>74</v>
      </c>
      <c r="BO937" s="1" t="s">
        <v>74</v>
      </c>
      <c r="BP937" s="1" t="s">
        <v>74</v>
      </c>
      <c r="BQ937" s="1" t="s">
        <v>74</v>
      </c>
      <c r="BR937" s="1" t="s">
        <v>74</v>
      </c>
      <c r="BS937" s="1" t="s">
        <v>9278</v>
      </c>
      <c r="BT937" s="1" t="str">
        <f>HYPERLINK("https%3A%2F%2Fwww.webofscience.com%2Fwos%2Fwoscc%2Ffull-record%2FWOS:000622782600001","View Full Record in Web of Science")</f>
        <v>View Full Record in Web of Science</v>
      </c>
    </row>
    <row r="938" ht="12.75" customHeight="1">
      <c r="A938" s="1" t="s">
        <v>72</v>
      </c>
      <c r="B938" s="1" t="s">
        <v>9279</v>
      </c>
      <c r="C938" s="1" t="s">
        <v>74</v>
      </c>
      <c r="D938" s="1" t="s">
        <v>74</v>
      </c>
      <c r="E938" s="1" t="s">
        <v>74</v>
      </c>
      <c r="F938" s="1" t="s">
        <v>9280</v>
      </c>
      <c r="G938" s="1" t="s">
        <v>74</v>
      </c>
      <c r="H938" s="1" t="s">
        <v>74</v>
      </c>
      <c r="I938" s="1" t="s">
        <v>9281</v>
      </c>
      <c r="J938" s="1" t="s">
        <v>5674</v>
      </c>
      <c r="K938" s="1" t="s">
        <v>74</v>
      </c>
      <c r="L938" s="1" t="s">
        <v>74</v>
      </c>
      <c r="M938" s="1" t="s">
        <v>74</v>
      </c>
      <c r="N938" s="1" t="s">
        <v>74</v>
      </c>
      <c r="O938" s="1" t="s">
        <v>74</v>
      </c>
      <c r="P938" s="1" t="s">
        <v>74</v>
      </c>
      <c r="Q938" s="1" t="s">
        <v>74</v>
      </c>
      <c r="R938" s="1" t="s">
        <v>74</v>
      </c>
      <c r="S938" s="1" t="s">
        <v>74</v>
      </c>
      <c r="T938" s="1" t="s">
        <v>74</v>
      </c>
      <c r="U938" s="1" t="s">
        <v>74</v>
      </c>
      <c r="V938" s="1" t="s">
        <v>9282</v>
      </c>
      <c r="W938" s="1" t="s">
        <v>74</v>
      </c>
      <c r="X938" s="1" t="s">
        <v>74</v>
      </c>
      <c r="Y938" s="1" t="s">
        <v>74</v>
      </c>
      <c r="Z938" s="1" t="s">
        <v>74</v>
      </c>
      <c r="AA938" s="1" t="s">
        <v>9283</v>
      </c>
      <c r="AB938" s="1" t="s">
        <v>9284</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5677</v>
      </c>
      <c r="AP938" s="1" t="s">
        <v>5678</v>
      </c>
      <c r="AQ938" s="1" t="s">
        <v>74</v>
      </c>
      <c r="AR938" s="1" t="s">
        <v>74</v>
      </c>
      <c r="AS938" s="1" t="s">
        <v>74</v>
      </c>
      <c r="AT938" s="1" t="s">
        <v>106</v>
      </c>
      <c r="AU938" s="1">
        <v>2018.0</v>
      </c>
      <c r="AV938" s="1">
        <v>93.0</v>
      </c>
      <c r="AW938" s="1">
        <v>11.0</v>
      </c>
      <c r="AX938" s="1" t="s">
        <v>74</v>
      </c>
      <c r="AY938" s="1" t="s">
        <v>74</v>
      </c>
      <c r="AZ938" s="1" t="s">
        <v>74</v>
      </c>
      <c r="BA938" s="1" t="s">
        <v>74</v>
      </c>
      <c r="BB938" s="1">
        <v>1589.0</v>
      </c>
      <c r="BC938" s="1">
        <v>1599.0</v>
      </c>
      <c r="BD938" s="1" t="s">
        <v>74</v>
      </c>
      <c r="BE938" s="1" t="s">
        <v>9285</v>
      </c>
      <c r="BF938" s="2" t="str">
        <f>HYPERLINK("http://dx.doi.org/10.1016/j.mayocp.2018.05.035","http://dx.doi.org/10.1016/j.mayocp.2018.05.035")</f>
        <v>http://dx.doi.org/10.1016/j.mayocp.2018.05.035</v>
      </c>
      <c r="BG938" s="1" t="s">
        <v>74</v>
      </c>
      <c r="BH938" s="1" t="s">
        <v>74</v>
      </c>
      <c r="BI938" s="1" t="s">
        <v>74</v>
      </c>
      <c r="BJ938" s="1" t="s">
        <v>74</v>
      </c>
      <c r="BK938" s="1" t="s">
        <v>74</v>
      </c>
      <c r="BL938" s="1" t="s">
        <v>74</v>
      </c>
      <c r="BM938" s="1" t="s">
        <v>74</v>
      </c>
      <c r="BN938" s="1">
        <v>3.0274906E7</v>
      </c>
      <c r="BO938" s="1" t="s">
        <v>74</v>
      </c>
      <c r="BP938" s="1" t="s">
        <v>74</v>
      </c>
      <c r="BQ938" s="1" t="s">
        <v>74</v>
      </c>
      <c r="BR938" s="1" t="s">
        <v>74</v>
      </c>
      <c r="BS938" s="1" t="s">
        <v>9286</v>
      </c>
      <c r="BT938" s="1" t="str">
        <f>HYPERLINK("https%3A%2F%2Fwww.webofscience.com%2Fwos%2Fwoscc%2Ffull-record%2FWOS:000448967300010","View Full Record in Web of Science")</f>
        <v>View Full Record in Web of Science</v>
      </c>
    </row>
    <row r="939" ht="12.75" customHeight="1">
      <c r="A939" s="1" t="s">
        <v>72</v>
      </c>
      <c r="B939" s="1" t="s">
        <v>9287</v>
      </c>
      <c r="C939" s="1" t="s">
        <v>74</v>
      </c>
      <c r="D939" s="1" t="s">
        <v>74</v>
      </c>
      <c r="E939" s="1" t="s">
        <v>74</v>
      </c>
      <c r="F939" s="1" t="s">
        <v>9288</v>
      </c>
      <c r="G939" s="1" t="s">
        <v>74</v>
      </c>
      <c r="H939" s="1" t="s">
        <v>74</v>
      </c>
      <c r="I939" s="1" t="s">
        <v>9289</v>
      </c>
      <c r="J939" s="1" t="s">
        <v>7548</v>
      </c>
      <c r="K939" s="1" t="s">
        <v>74</v>
      </c>
      <c r="L939" s="1" t="s">
        <v>74</v>
      </c>
      <c r="M939" s="1" t="s">
        <v>74</v>
      </c>
      <c r="N939" s="1" t="s">
        <v>74</v>
      </c>
      <c r="O939" s="1" t="s">
        <v>74</v>
      </c>
      <c r="P939" s="1" t="s">
        <v>74</v>
      </c>
      <c r="Q939" s="1" t="s">
        <v>74</v>
      </c>
      <c r="R939" s="1" t="s">
        <v>74</v>
      </c>
      <c r="S939" s="1" t="s">
        <v>74</v>
      </c>
      <c r="T939" s="1" t="s">
        <v>74</v>
      </c>
      <c r="U939" s="1" t="s">
        <v>74</v>
      </c>
      <c r="V939" s="1" t="s">
        <v>9290</v>
      </c>
      <c r="W939" s="1" t="s">
        <v>74</v>
      </c>
      <c r="X939" s="1" t="s">
        <v>74</v>
      </c>
      <c r="Y939" s="1" t="s">
        <v>74</v>
      </c>
      <c r="Z939" s="1" t="s">
        <v>74</v>
      </c>
      <c r="AA939" s="1" t="s">
        <v>9291</v>
      </c>
      <c r="AB939" s="1" t="s">
        <v>9292</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7552</v>
      </c>
      <c r="AP939" s="1" t="s">
        <v>7553</v>
      </c>
      <c r="AQ939" s="1" t="s">
        <v>74</v>
      </c>
      <c r="AR939" s="1" t="s">
        <v>74</v>
      </c>
      <c r="AS939" s="1" t="s">
        <v>74</v>
      </c>
      <c r="AT939" s="1" t="s">
        <v>1155</v>
      </c>
      <c r="AU939" s="1">
        <v>2020.0</v>
      </c>
      <c r="AV939" s="1">
        <v>59.0</v>
      </c>
      <c r="AW939" s="1">
        <v>43.0</v>
      </c>
      <c r="AX939" s="1" t="s">
        <v>74</v>
      </c>
      <c r="AY939" s="1" t="s">
        <v>74</v>
      </c>
      <c r="AZ939" s="1" t="s">
        <v>74</v>
      </c>
      <c r="BA939" s="1" t="s">
        <v>74</v>
      </c>
      <c r="BB939" s="1">
        <v>19193.0</v>
      </c>
      <c r="BC939" s="1">
        <v>19201.0</v>
      </c>
      <c r="BD939" s="1" t="s">
        <v>74</v>
      </c>
      <c r="BE939" s="1" t="s">
        <v>9293</v>
      </c>
      <c r="BF939" s="2" t="str">
        <f>HYPERLINK("http://dx.doi.org/10.1002/anie.202007237","http://dx.doi.org/10.1002/anie.202007237")</f>
        <v>http://dx.doi.org/10.1002/anie.202007237</v>
      </c>
      <c r="BG939" s="1" t="s">
        <v>74</v>
      </c>
      <c r="BH939" s="1" t="s">
        <v>3020</v>
      </c>
      <c r="BI939" s="1" t="s">
        <v>74</v>
      </c>
      <c r="BJ939" s="1" t="s">
        <v>74</v>
      </c>
      <c r="BK939" s="1" t="s">
        <v>74</v>
      </c>
      <c r="BL939" s="1" t="s">
        <v>74</v>
      </c>
      <c r="BM939" s="1" t="s">
        <v>74</v>
      </c>
      <c r="BN939" s="1">
        <v>3.3448538E7</v>
      </c>
      <c r="BO939" s="1" t="s">
        <v>74</v>
      </c>
      <c r="BP939" s="1" t="s">
        <v>74</v>
      </c>
      <c r="BQ939" s="1" t="s">
        <v>74</v>
      </c>
      <c r="BR939" s="1" t="s">
        <v>74</v>
      </c>
      <c r="BS939" s="1" t="s">
        <v>9294</v>
      </c>
      <c r="BT939" s="1" t="str">
        <f>HYPERLINK("https%3A%2F%2Fwww.webofscience.com%2Fwos%2Fwoscc%2Ffull-record%2FWOS:000561863500001","View Full Record in Web of Science")</f>
        <v>View Full Record in Web of Science</v>
      </c>
    </row>
    <row r="940" ht="12.75" customHeight="1">
      <c r="A940" s="1" t="s">
        <v>72</v>
      </c>
      <c r="B940" s="1" t="s">
        <v>9295</v>
      </c>
      <c r="C940" s="1" t="s">
        <v>74</v>
      </c>
      <c r="D940" s="1" t="s">
        <v>74</v>
      </c>
      <c r="E940" s="1" t="s">
        <v>74</v>
      </c>
      <c r="F940" s="1" t="s">
        <v>9296</v>
      </c>
      <c r="G940" s="1" t="s">
        <v>74</v>
      </c>
      <c r="H940" s="1" t="s">
        <v>74</v>
      </c>
      <c r="I940" s="1" t="s">
        <v>9297</v>
      </c>
      <c r="J940" s="1" t="s">
        <v>340</v>
      </c>
      <c r="K940" s="1" t="s">
        <v>74</v>
      </c>
      <c r="L940" s="1" t="s">
        <v>74</v>
      </c>
      <c r="M940" s="1" t="s">
        <v>74</v>
      </c>
      <c r="N940" s="1" t="s">
        <v>74</v>
      </c>
      <c r="O940" s="1" t="s">
        <v>74</v>
      </c>
      <c r="P940" s="1" t="s">
        <v>74</v>
      </c>
      <c r="Q940" s="1" t="s">
        <v>74</v>
      </c>
      <c r="R940" s="1" t="s">
        <v>74</v>
      </c>
      <c r="S940" s="1" t="s">
        <v>74</v>
      </c>
      <c r="T940" s="1" t="s">
        <v>74</v>
      </c>
      <c r="U940" s="1" t="s">
        <v>74</v>
      </c>
      <c r="V940" s="1" t="s">
        <v>9298</v>
      </c>
      <c r="W940" s="1" t="s">
        <v>74</v>
      </c>
      <c r="X940" s="1" t="s">
        <v>74</v>
      </c>
      <c r="Y940" s="1" t="s">
        <v>74</v>
      </c>
      <c r="Z940" s="1" t="s">
        <v>74</v>
      </c>
      <c r="AA940" s="1" t="s">
        <v>9299</v>
      </c>
      <c r="AB940" s="1" t="s">
        <v>9300</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344</v>
      </c>
      <c r="AP940" s="1" t="s">
        <v>345</v>
      </c>
      <c r="AQ940" s="1" t="s">
        <v>74</v>
      </c>
      <c r="AR940" s="1" t="s">
        <v>74</v>
      </c>
      <c r="AS940" s="1" t="s">
        <v>74</v>
      </c>
      <c r="AT940" s="1" t="s">
        <v>745</v>
      </c>
      <c r="AU940" s="1">
        <v>2018.0</v>
      </c>
      <c r="AV940" s="1">
        <v>30.0</v>
      </c>
      <c r="AW940" s="1">
        <v>7.0</v>
      </c>
      <c r="AX940" s="1" t="s">
        <v>74</v>
      </c>
      <c r="AY940" s="1" t="s">
        <v>74</v>
      </c>
      <c r="AZ940" s="1" t="s">
        <v>448</v>
      </c>
      <c r="BA940" s="1" t="s">
        <v>74</v>
      </c>
      <c r="BB940" s="1">
        <v>1496.0</v>
      </c>
      <c r="BC940" s="1">
        <v>1504.0</v>
      </c>
      <c r="BD940" s="1" t="s">
        <v>74</v>
      </c>
      <c r="BE940" s="1" t="s">
        <v>9301</v>
      </c>
      <c r="BF940" s="2" t="str">
        <f>HYPERLINK("http://dx.doi.org/10.1002/elan.201800096","http://dx.doi.org/10.1002/elan.201800096")</f>
        <v>http://dx.doi.org/10.1002/elan.201800096</v>
      </c>
      <c r="BG940" s="1" t="s">
        <v>74</v>
      </c>
      <c r="BH940" s="1" t="s">
        <v>74</v>
      </c>
      <c r="BI940" s="1" t="s">
        <v>74</v>
      </c>
      <c r="BJ940" s="1" t="s">
        <v>74</v>
      </c>
      <c r="BK940" s="1" t="s">
        <v>74</v>
      </c>
      <c r="BL940" s="1" t="s">
        <v>74</v>
      </c>
      <c r="BM940" s="1" t="s">
        <v>74</v>
      </c>
      <c r="BN940" s="1" t="s">
        <v>74</v>
      </c>
      <c r="BO940" s="1" t="s">
        <v>74</v>
      </c>
      <c r="BP940" s="1" t="s">
        <v>74</v>
      </c>
      <c r="BQ940" s="1" t="s">
        <v>74</v>
      </c>
      <c r="BR940" s="1" t="s">
        <v>74</v>
      </c>
      <c r="BS940" s="1" t="s">
        <v>9302</v>
      </c>
      <c r="BT940" s="1" t="str">
        <f>HYPERLINK("https%3A%2F%2Fwww.webofscience.com%2Fwos%2Fwoscc%2Ffull-record%2FWOS:000438025200035","View Full Record in Web of Science")</f>
        <v>View Full Record in Web of Science</v>
      </c>
    </row>
    <row r="941" ht="12.75" customHeight="1">
      <c r="A941" s="1" t="s">
        <v>72</v>
      </c>
      <c r="B941" s="1" t="s">
        <v>9303</v>
      </c>
      <c r="C941" s="1" t="s">
        <v>74</v>
      </c>
      <c r="D941" s="1" t="s">
        <v>74</v>
      </c>
      <c r="E941" s="1" t="s">
        <v>74</v>
      </c>
      <c r="F941" s="1" t="s">
        <v>9304</v>
      </c>
      <c r="G941" s="1" t="s">
        <v>74</v>
      </c>
      <c r="H941" s="1" t="s">
        <v>74</v>
      </c>
      <c r="I941" s="1" t="s">
        <v>9305</v>
      </c>
      <c r="J941" s="1" t="s">
        <v>1716</v>
      </c>
      <c r="K941" s="1" t="s">
        <v>74</v>
      </c>
      <c r="L941" s="1" t="s">
        <v>74</v>
      </c>
      <c r="M941" s="1" t="s">
        <v>74</v>
      </c>
      <c r="N941" s="1" t="s">
        <v>74</v>
      </c>
      <c r="O941" s="1" t="s">
        <v>74</v>
      </c>
      <c r="P941" s="1" t="s">
        <v>74</v>
      </c>
      <c r="Q941" s="1" t="s">
        <v>74</v>
      </c>
      <c r="R941" s="1" t="s">
        <v>74</v>
      </c>
      <c r="S941" s="1" t="s">
        <v>74</v>
      </c>
      <c r="T941" s="1" t="s">
        <v>74</v>
      </c>
      <c r="U941" s="1" t="s">
        <v>74</v>
      </c>
      <c r="V941" s="1" t="s">
        <v>9306</v>
      </c>
      <c r="W941" s="1" t="s">
        <v>74</v>
      </c>
      <c r="X941" s="1" t="s">
        <v>74</v>
      </c>
      <c r="Y941" s="1" t="s">
        <v>74</v>
      </c>
      <c r="Z941" s="1" t="s">
        <v>74</v>
      </c>
      <c r="AA941" s="1" t="s">
        <v>9307</v>
      </c>
      <c r="AB941" s="1" t="s">
        <v>9308</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1719</v>
      </c>
      <c r="AP941" s="1" t="s">
        <v>1720</v>
      </c>
      <c r="AQ941" s="1" t="s">
        <v>74</v>
      </c>
      <c r="AR941" s="1" t="s">
        <v>74</v>
      </c>
      <c r="AS941" s="1" t="s">
        <v>74</v>
      </c>
      <c r="AT941" s="1" t="s">
        <v>106</v>
      </c>
      <c r="AU941" s="1">
        <v>2021.0</v>
      </c>
      <c r="AV941" s="1">
        <v>144.0</v>
      </c>
      <c r="AW941" s="1" t="s">
        <v>74</v>
      </c>
      <c r="AX941" s="1" t="s">
        <v>74</v>
      </c>
      <c r="AY941" s="1" t="s">
        <v>74</v>
      </c>
      <c r="AZ941" s="1" t="s">
        <v>74</v>
      </c>
      <c r="BA941" s="1" t="s">
        <v>74</v>
      </c>
      <c r="BB941" s="1">
        <v>43.0</v>
      </c>
      <c r="BC941" s="1">
        <v>55.0</v>
      </c>
      <c r="BD941" s="1" t="s">
        <v>74</v>
      </c>
      <c r="BE941" s="1" t="s">
        <v>9309</v>
      </c>
      <c r="BF941" s="2" t="str">
        <f>HYPERLINK("http://dx.doi.org/10.1016/j.cortex.2021.08.003","http://dx.doi.org/10.1016/j.cortex.2021.08.003")</f>
        <v>http://dx.doi.org/10.1016/j.cortex.2021.08.003</v>
      </c>
      <c r="BG941" s="1" t="s">
        <v>74</v>
      </c>
      <c r="BH941" s="1" t="s">
        <v>2840</v>
      </c>
      <c r="BI941" s="1" t="s">
        <v>74</v>
      </c>
      <c r="BJ941" s="1" t="s">
        <v>74</v>
      </c>
      <c r="BK941" s="1" t="s">
        <v>74</v>
      </c>
      <c r="BL941" s="1" t="s">
        <v>74</v>
      </c>
      <c r="BM941" s="1" t="s">
        <v>74</v>
      </c>
      <c r="BN941" s="1">
        <v>3.4637999E7</v>
      </c>
      <c r="BO941" s="1" t="s">
        <v>74</v>
      </c>
      <c r="BP941" s="1" t="s">
        <v>74</v>
      </c>
      <c r="BQ941" s="1" t="s">
        <v>74</v>
      </c>
      <c r="BR941" s="1" t="s">
        <v>74</v>
      </c>
      <c r="BS941" s="1" t="s">
        <v>9310</v>
      </c>
      <c r="BT941" s="1" t="str">
        <f>HYPERLINK("https%3A%2F%2Fwww.webofscience.com%2Fwos%2Fwoscc%2Ffull-record%2FWOS:000709712400002","View Full Record in Web of Science")</f>
        <v>View Full Record in Web of Science</v>
      </c>
    </row>
    <row r="942" ht="12.75" customHeight="1">
      <c r="A942" s="1" t="s">
        <v>72</v>
      </c>
      <c r="B942" s="1" t="s">
        <v>9311</v>
      </c>
      <c r="C942" s="1" t="s">
        <v>74</v>
      </c>
      <c r="D942" s="1" t="s">
        <v>74</v>
      </c>
      <c r="E942" s="1" t="s">
        <v>74</v>
      </c>
      <c r="F942" s="1" t="s">
        <v>9312</v>
      </c>
      <c r="G942" s="1" t="s">
        <v>74</v>
      </c>
      <c r="H942" s="1" t="s">
        <v>74</v>
      </c>
      <c r="I942" s="1" t="s">
        <v>9313</v>
      </c>
      <c r="J942" s="1" t="s">
        <v>9314</v>
      </c>
      <c r="K942" s="1" t="s">
        <v>74</v>
      </c>
      <c r="L942" s="1" t="s">
        <v>74</v>
      </c>
      <c r="M942" s="1" t="s">
        <v>74</v>
      </c>
      <c r="N942" s="1" t="s">
        <v>74</v>
      </c>
      <c r="O942" s="1" t="s">
        <v>74</v>
      </c>
      <c r="P942" s="1" t="s">
        <v>74</v>
      </c>
      <c r="Q942" s="1" t="s">
        <v>74</v>
      </c>
      <c r="R942" s="1" t="s">
        <v>74</v>
      </c>
      <c r="S942" s="1" t="s">
        <v>74</v>
      </c>
      <c r="T942" s="1" t="s">
        <v>74</v>
      </c>
      <c r="U942" s="1" t="s">
        <v>74</v>
      </c>
      <c r="V942" s="1" t="s">
        <v>9315</v>
      </c>
      <c r="W942" s="1" t="s">
        <v>74</v>
      </c>
      <c r="X942" s="1" t="s">
        <v>74</v>
      </c>
      <c r="Y942" s="1" t="s">
        <v>74</v>
      </c>
      <c r="Z942" s="1" t="s">
        <v>74</v>
      </c>
      <c r="AA942" s="1" t="s">
        <v>9316</v>
      </c>
      <c r="AB942" s="1" t="s">
        <v>9317</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9318</v>
      </c>
      <c r="AP942" s="1" t="s">
        <v>9319</v>
      </c>
      <c r="AQ942" s="1" t="s">
        <v>74</v>
      </c>
      <c r="AR942" s="1" t="s">
        <v>74</v>
      </c>
      <c r="AS942" s="1" t="s">
        <v>74</v>
      </c>
      <c r="AT942" s="1" t="s">
        <v>392</v>
      </c>
      <c r="AU942" s="1">
        <v>2023.0</v>
      </c>
      <c r="AV942" s="1">
        <v>211.0</v>
      </c>
      <c r="AW942" s="1" t="s">
        <v>74</v>
      </c>
      <c r="AX942" s="1" t="s">
        <v>74</v>
      </c>
      <c r="AY942" s="1" t="s">
        <v>74</v>
      </c>
      <c r="AZ942" s="1" t="s">
        <v>74</v>
      </c>
      <c r="BA942" s="1" t="s">
        <v>74</v>
      </c>
      <c r="BB942" s="1" t="s">
        <v>74</v>
      </c>
      <c r="BC942" s="1" t="s">
        <v>74</v>
      </c>
      <c r="BD942" s="1">
        <v>104927.0</v>
      </c>
      <c r="BE942" s="1" t="s">
        <v>9320</v>
      </c>
      <c r="BF942" s="2" t="str">
        <f>HYPERLINK("http://dx.doi.org/10.1016/j.jaridenv.2022.104927","http://dx.doi.org/10.1016/j.jaridenv.2022.104927")</f>
        <v>http://dx.doi.org/10.1016/j.jaridenv.2022.104927</v>
      </c>
      <c r="BG942" s="1" t="s">
        <v>74</v>
      </c>
      <c r="BH942" s="1" t="s">
        <v>7191</v>
      </c>
      <c r="BI942" s="1" t="s">
        <v>74</v>
      </c>
      <c r="BJ942" s="1" t="s">
        <v>74</v>
      </c>
      <c r="BK942" s="1" t="s">
        <v>74</v>
      </c>
      <c r="BL942" s="1" t="s">
        <v>74</v>
      </c>
      <c r="BM942" s="1" t="s">
        <v>74</v>
      </c>
      <c r="BN942" s="1" t="s">
        <v>74</v>
      </c>
      <c r="BO942" s="1" t="s">
        <v>74</v>
      </c>
      <c r="BP942" s="1" t="s">
        <v>74</v>
      </c>
      <c r="BQ942" s="1" t="s">
        <v>74</v>
      </c>
      <c r="BR942" s="1" t="s">
        <v>74</v>
      </c>
      <c r="BS942" s="1" t="s">
        <v>9321</v>
      </c>
      <c r="BT942" s="1" t="str">
        <f>HYPERLINK("https%3A%2F%2Fwww.webofscience.com%2Fwos%2Fwoscc%2Ffull-record%2FWOS:000917278100001","View Full Record in Web of Science")</f>
        <v>View Full Record in Web of Science</v>
      </c>
    </row>
    <row r="943" ht="12.75" customHeight="1">
      <c r="A943" s="1" t="s">
        <v>72</v>
      </c>
      <c r="B943" s="1" t="s">
        <v>9322</v>
      </c>
      <c r="C943" s="1" t="s">
        <v>74</v>
      </c>
      <c r="D943" s="1" t="s">
        <v>74</v>
      </c>
      <c r="E943" s="1" t="s">
        <v>74</v>
      </c>
      <c r="F943" s="1" t="s">
        <v>9323</v>
      </c>
      <c r="G943" s="1" t="s">
        <v>74</v>
      </c>
      <c r="H943" s="1" t="s">
        <v>74</v>
      </c>
      <c r="I943" s="1" t="s">
        <v>9324</v>
      </c>
      <c r="J943" s="1" t="s">
        <v>1024</v>
      </c>
      <c r="K943" s="1" t="s">
        <v>74</v>
      </c>
      <c r="L943" s="1" t="s">
        <v>74</v>
      </c>
      <c r="M943" s="1" t="s">
        <v>74</v>
      </c>
      <c r="N943" s="1" t="s">
        <v>74</v>
      </c>
      <c r="O943" s="1" t="s">
        <v>74</v>
      </c>
      <c r="P943" s="1" t="s">
        <v>74</v>
      </c>
      <c r="Q943" s="1" t="s">
        <v>74</v>
      </c>
      <c r="R943" s="1" t="s">
        <v>74</v>
      </c>
      <c r="S943" s="1" t="s">
        <v>74</v>
      </c>
      <c r="T943" s="1" t="s">
        <v>74</v>
      </c>
      <c r="U943" s="1" t="s">
        <v>74</v>
      </c>
      <c r="V943" s="1" t="s">
        <v>9325</v>
      </c>
      <c r="W943" s="1" t="s">
        <v>74</v>
      </c>
      <c r="X943" s="1" t="s">
        <v>74</v>
      </c>
      <c r="Y943" s="1" t="s">
        <v>74</v>
      </c>
      <c r="Z943" s="1" t="s">
        <v>74</v>
      </c>
      <c r="AA943" s="1" t="s">
        <v>9326</v>
      </c>
      <c r="AB943" s="1" t="s">
        <v>9327</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1028</v>
      </c>
      <c r="AP943" s="1" t="s">
        <v>1029</v>
      </c>
      <c r="AQ943" s="1" t="s">
        <v>74</v>
      </c>
      <c r="AR943" s="1" t="s">
        <v>74</v>
      </c>
      <c r="AS943" s="1" t="s">
        <v>74</v>
      </c>
      <c r="AT943" s="1" t="s">
        <v>106</v>
      </c>
      <c r="AU943" s="1">
        <v>2020.0</v>
      </c>
      <c r="AV943" s="1">
        <v>498.0</v>
      </c>
      <c r="AW943" s="1">
        <v>4.0</v>
      </c>
      <c r="AX943" s="1" t="s">
        <v>74</v>
      </c>
      <c r="AY943" s="1" t="s">
        <v>74</v>
      </c>
      <c r="AZ943" s="1" t="s">
        <v>74</v>
      </c>
      <c r="BA943" s="1" t="s">
        <v>74</v>
      </c>
      <c r="BB943" s="1">
        <v>4605.0</v>
      </c>
      <c r="BC943" s="1">
        <v>4614.0</v>
      </c>
      <c r="BD943" s="1" t="s">
        <v>74</v>
      </c>
      <c r="BE943" s="1" t="s">
        <v>9328</v>
      </c>
      <c r="BF943" s="2" t="str">
        <f>HYPERLINK("http://dx.doi.org/10.1093/mnras/staa2640","http://dx.doi.org/10.1093/mnras/staa2640")</f>
        <v>http://dx.doi.org/10.1093/mnras/staa2640</v>
      </c>
      <c r="BG943" s="1" t="s">
        <v>74</v>
      </c>
      <c r="BH943" s="1" t="s">
        <v>74</v>
      </c>
      <c r="BI943" s="1" t="s">
        <v>74</v>
      </c>
      <c r="BJ943" s="1" t="s">
        <v>74</v>
      </c>
      <c r="BK943" s="1" t="s">
        <v>74</v>
      </c>
      <c r="BL943" s="1" t="s">
        <v>74</v>
      </c>
      <c r="BM943" s="1" t="s">
        <v>74</v>
      </c>
      <c r="BN943" s="1">
        <v>3.3149372E7</v>
      </c>
      <c r="BO943" s="1" t="s">
        <v>74</v>
      </c>
      <c r="BP943" s="1" t="s">
        <v>74</v>
      </c>
      <c r="BQ943" s="1" t="s">
        <v>74</v>
      </c>
      <c r="BR943" s="1" t="s">
        <v>74</v>
      </c>
      <c r="BS943" s="1" t="s">
        <v>9329</v>
      </c>
      <c r="BT943" s="1" t="str">
        <f>HYPERLINK("https%3A%2F%2Fwww.webofscience.com%2Fwos%2Fwoscc%2Ffull-record%2FWOS:000587755500002","View Full Record in Web of Science")</f>
        <v>View Full Record in Web of Science</v>
      </c>
    </row>
    <row r="944" ht="12.75" customHeight="1">
      <c r="A944" s="1" t="s">
        <v>72</v>
      </c>
      <c r="B944" s="1" t="s">
        <v>9330</v>
      </c>
      <c r="C944" s="1" t="s">
        <v>74</v>
      </c>
      <c r="D944" s="1" t="s">
        <v>74</v>
      </c>
      <c r="E944" s="1" t="s">
        <v>74</v>
      </c>
      <c r="F944" s="1" t="s">
        <v>9331</v>
      </c>
      <c r="G944" s="1" t="s">
        <v>74</v>
      </c>
      <c r="H944" s="1" t="s">
        <v>74</v>
      </c>
      <c r="I944" s="1" t="s">
        <v>9332</v>
      </c>
      <c r="J944" s="1" t="s">
        <v>9333</v>
      </c>
      <c r="K944" s="1" t="s">
        <v>74</v>
      </c>
      <c r="L944" s="1" t="s">
        <v>74</v>
      </c>
      <c r="M944" s="1" t="s">
        <v>74</v>
      </c>
      <c r="N944" s="1" t="s">
        <v>74</v>
      </c>
      <c r="O944" s="1" t="s">
        <v>74</v>
      </c>
      <c r="P944" s="1" t="s">
        <v>74</v>
      </c>
      <c r="Q944" s="1" t="s">
        <v>74</v>
      </c>
      <c r="R944" s="1" t="s">
        <v>74</v>
      </c>
      <c r="S944" s="1" t="s">
        <v>74</v>
      </c>
      <c r="T944" s="1" t="s">
        <v>74</v>
      </c>
      <c r="U944" s="1" t="s">
        <v>74</v>
      </c>
      <c r="V944" s="1" t="s">
        <v>9334</v>
      </c>
      <c r="W944" s="1" t="s">
        <v>74</v>
      </c>
      <c r="X944" s="1" t="s">
        <v>74</v>
      </c>
      <c r="Y944" s="1" t="s">
        <v>74</v>
      </c>
      <c r="Z944" s="1" t="s">
        <v>74</v>
      </c>
      <c r="AA944" s="1" t="s">
        <v>9335</v>
      </c>
      <c r="AB944" s="1" t="s">
        <v>9336</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9337</v>
      </c>
      <c r="AP944" s="1" t="s">
        <v>9338</v>
      </c>
      <c r="AQ944" s="1" t="s">
        <v>74</v>
      </c>
      <c r="AR944" s="1" t="s">
        <v>74</v>
      </c>
      <c r="AS944" s="1" t="s">
        <v>74</v>
      </c>
      <c r="AT944" s="1" t="s">
        <v>264</v>
      </c>
      <c r="AU944" s="1">
        <v>2016.0</v>
      </c>
      <c r="AV944" s="1">
        <v>16.0</v>
      </c>
      <c r="AW944" s="1">
        <v>1.0</v>
      </c>
      <c r="AX944" s="1" t="s">
        <v>74</v>
      </c>
      <c r="AY944" s="1" t="s">
        <v>74</v>
      </c>
      <c r="AZ944" s="1" t="s">
        <v>74</v>
      </c>
      <c r="BA944" s="1" t="s">
        <v>74</v>
      </c>
      <c r="BB944" s="1">
        <v>218.0</v>
      </c>
      <c r="BC944" s="1">
        <v>226.0</v>
      </c>
      <c r="BD944" s="1" t="s">
        <v>74</v>
      </c>
      <c r="BE944" s="1" t="s">
        <v>9339</v>
      </c>
      <c r="BF944" s="2" t="str">
        <f>HYPERLINK("http://dx.doi.org/10.1021/acs.nanolett.5b03571","http://dx.doi.org/10.1021/acs.nanolett.5b03571")</f>
        <v>http://dx.doi.org/10.1021/acs.nanolett.5b03571</v>
      </c>
      <c r="BG944" s="1" t="s">
        <v>74</v>
      </c>
      <c r="BH944" s="1" t="s">
        <v>74</v>
      </c>
      <c r="BI944" s="1" t="s">
        <v>74</v>
      </c>
      <c r="BJ944" s="1" t="s">
        <v>74</v>
      </c>
      <c r="BK944" s="1" t="s">
        <v>74</v>
      </c>
      <c r="BL944" s="1" t="s">
        <v>74</v>
      </c>
      <c r="BM944" s="1" t="s">
        <v>74</v>
      </c>
      <c r="BN944" s="1">
        <v>2.6675052E7</v>
      </c>
      <c r="BO944" s="1" t="s">
        <v>74</v>
      </c>
      <c r="BP944" s="1" t="s">
        <v>74</v>
      </c>
      <c r="BQ944" s="1" t="s">
        <v>74</v>
      </c>
      <c r="BR944" s="1" t="s">
        <v>74</v>
      </c>
      <c r="BS944" s="1" t="s">
        <v>9340</v>
      </c>
      <c r="BT944" s="1" t="str">
        <f>HYPERLINK("https%3A%2F%2Fwww.webofscience.com%2Fwos%2Fwoscc%2Ffull-record%2FWOS:000368322700035","View Full Record in Web of Science")</f>
        <v>View Full Record in Web of Science</v>
      </c>
    </row>
    <row r="945" ht="12.75" customHeight="1">
      <c r="A945" s="1" t="s">
        <v>72</v>
      </c>
      <c r="B945" s="1" t="s">
        <v>9341</v>
      </c>
      <c r="C945" s="1" t="s">
        <v>74</v>
      </c>
      <c r="D945" s="1" t="s">
        <v>74</v>
      </c>
      <c r="E945" s="1" t="s">
        <v>74</v>
      </c>
      <c r="F945" s="1" t="s">
        <v>9342</v>
      </c>
      <c r="G945" s="1" t="s">
        <v>74</v>
      </c>
      <c r="H945" s="1" t="s">
        <v>74</v>
      </c>
      <c r="I945" s="1" t="s">
        <v>9343</v>
      </c>
      <c r="J945" s="1" t="s">
        <v>9344</v>
      </c>
      <c r="K945" s="1" t="s">
        <v>74</v>
      </c>
      <c r="L945" s="1" t="s">
        <v>74</v>
      </c>
      <c r="M945" s="1" t="s">
        <v>74</v>
      </c>
      <c r="N945" s="1" t="s">
        <v>74</v>
      </c>
      <c r="O945" s="1" t="s">
        <v>74</v>
      </c>
      <c r="P945" s="1" t="s">
        <v>74</v>
      </c>
      <c r="Q945" s="1" t="s">
        <v>74</v>
      </c>
      <c r="R945" s="1" t="s">
        <v>74</v>
      </c>
      <c r="S945" s="1" t="s">
        <v>74</v>
      </c>
      <c r="T945" s="1" t="s">
        <v>74</v>
      </c>
      <c r="U945" s="1" t="s">
        <v>74</v>
      </c>
      <c r="V945" s="1" t="s">
        <v>9345</v>
      </c>
      <c r="W945" s="1" t="s">
        <v>74</v>
      </c>
      <c r="X945" s="1" t="s">
        <v>74</v>
      </c>
      <c r="Y945" s="1" t="s">
        <v>74</v>
      </c>
      <c r="Z945" s="1" t="s">
        <v>74</v>
      </c>
      <c r="AA945" s="1" t="s">
        <v>9346</v>
      </c>
      <c r="AB945" s="1" t="s">
        <v>9347</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9348</v>
      </c>
      <c r="AP945" s="1" t="s">
        <v>74</v>
      </c>
      <c r="AQ945" s="1" t="s">
        <v>74</v>
      </c>
      <c r="AR945" s="1" t="s">
        <v>74</v>
      </c>
      <c r="AS945" s="1" t="s">
        <v>74</v>
      </c>
      <c r="AT945" s="1" t="s">
        <v>8824</v>
      </c>
      <c r="AU945" s="1">
        <v>2021.0</v>
      </c>
      <c r="AV945" s="1">
        <v>10.0</v>
      </c>
      <c r="AW945" s="1" t="s">
        <v>74</v>
      </c>
      <c r="AX945" s="1" t="s">
        <v>74</v>
      </c>
      <c r="AY945" s="1" t="s">
        <v>74</v>
      </c>
      <c r="AZ945" s="1" t="s">
        <v>74</v>
      </c>
      <c r="BA945" s="1" t="s">
        <v>74</v>
      </c>
      <c r="BB945" s="1" t="s">
        <v>74</v>
      </c>
      <c r="BC945" s="1" t="s">
        <v>74</v>
      </c>
      <c r="BD945" s="1" t="s">
        <v>9349</v>
      </c>
      <c r="BE945" s="1" t="s">
        <v>9350</v>
      </c>
      <c r="BF945" s="2" t="str">
        <f>HYPERLINK("http://dx.doi.org/10.7554/eLife.70333","http://dx.doi.org/10.7554/eLife.70333")</f>
        <v>http://dx.doi.org/10.7554/eLife.70333</v>
      </c>
      <c r="BG945" s="1" t="s">
        <v>74</v>
      </c>
      <c r="BH945" s="1" t="s">
        <v>74</v>
      </c>
      <c r="BI945" s="1" t="s">
        <v>74</v>
      </c>
      <c r="BJ945" s="1" t="s">
        <v>74</v>
      </c>
      <c r="BK945" s="1" t="s">
        <v>74</v>
      </c>
      <c r="BL945" s="1" t="s">
        <v>74</v>
      </c>
      <c r="BM945" s="1" t="s">
        <v>74</v>
      </c>
      <c r="BN945" s="1">
        <v>3.415597E7</v>
      </c>
      <c r="BO945" s="1" t="s">
        <v>74</v>
      </c>
      <c r="BP945" s="1" t="s">
        <v>74</v>
      </c>
      <c r="BQ945" s="1" t="s">
        <v>74</v>
      </c>
      <c r="BR945" s="1" t="s">
        <v>74</v>
      </c>
      <c r="BS945" s="1" t="s">
        <v>9351</v>
      </c>
      <c r="BT945" s="1" t="str">
        <f>HYPERLINK("https%3A%2F%2Fwww.webofscience.com%2Fwos%2Fwoscc%2Ffull-record%2FWOS:000672777900001","View Full Record in Web of Science")</f>
        <v>View Full Record in Web of Science</v>
      </c>
    </row>
    <row r="946" ht="12.75" customHeight="1">
      <c r="A946" s="1" t="s">
        <v>72</v>
      </c>
      <c r="B946" s="1" t="s">
        <v>9303</v>
      </c>
      <c r="C946" s="1" t="s">
        <v>74</v>
      </c>
      <c r="D946" s="1" t="s">
        <v>74</v>
      </c>
      <c r="E946" s="1" t="s">
        <v>74</v>
      </c>
      <c r="F946" s="1" t="s">
        <v>9304</v>
      </c>
      <c r="G946" s="1" t="s">
        <v>74</v>
      </c>
      <c r="H946" s="1" t="s">
        <v>74</v>
      </c>
      <c r="I946" s="1" t="s">
        <v>9352</v>
      </c>
      <c r="J946" s="1" t="s">
        <v>8161</v>
      </c>
      <c r="K946" s="1" t="s">
        <v>74</v>
      </c>
      <c r="L946" s="1" t="s">
        <v>74</v>
      </c>
      <c r="M946" s="1" t="s">
        <v>74</v>
      </c>
      <c r="N946" s="1" t="s">
        <v>74</v>
      </c>
      <c r="O946" s="1" t="s">
        <v>74</v>
      </c>
      <c r="P946" s="1" t="s">
        <v>74</v>
      </c>
      <c r="Q946" s="1" t="s">
        <v>74</v>
      </c>
      <c r="R946" s="1" t="s">
        <v>74</v>
      </c>
      <c r="S946" s="1" t="s">
        <v>74</v>
      </c>
      <c r="T946" s="1" t="s">
        <v>74</v>
      </c>
      <c r="U946" s="1" t="s">
        <v>74</v>
      </c>
      <c r="V946" s="1" t="s">
        <v>9353</v>
      </c>
      <c r="W946" s="1" t="s">
        <v>74</v>
      </c>
      <c r="X946" s="1" t="s">
        <v>74</v>
      </c>
      <c r="Y946" s="1" t="s">
        <v>74</v>
      </c>
      <c r="Z946" s="1" t="s">
        <v>74</v>
      </c>
      <c r="AA946" s="1" t="s">
        <v>9307</v>
      </c>
      <c r="AB946" s="1" t="s">
        <v>9354</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8165</v>
      </c>
      <c r="AP946" s="1" t="s">
        <v>8166</v>
      </c>
      <c r="AQ946" s="1" t="s">
        <v>74</v>
      </c>
      <c r="AR946" s="1" t="s">
        <v>74</v>
      </c>
      <c r="AS946" s="1" t="s">
        <v>74</v>
      </c>
      <c r="AT946" s="1" t="s">
        <v>723</v>
      </c>
      <c r="AU946" s="1">
        <v>2021.0</v>
      </c>
      <c r="AV946" s="1">
        <v>235.0</v>
      </c>
      <c r="AW946" s="1" t="s">
        <v>74</v>
      </c>
      <c r="AX946" s="1" t="s">
        <v>74</v>
      </c>
      <c r="AY946" s="1" t="s">
        <v>74</v>
      </c>
      <c r="AZ946" s="1" t="s">
        <v>74</v>
      </c>
      <c r="BA946" s="1" t="s">
        <v>74</v>
      </c>
      <c r="BB946" s="1" t="s">
        <v>74</v>
      </c>
      <c r="BC946" s="1" t="s">
        <v>74</v>
      </c>
      <c r="BD946" s="1">
        <v>117998.0</v>
      </c>
      <c r="BE946" s="1" t="s">
        <v>9355</v>
      </c>
      <c r="BF946" s="2" t="str">
        <f>HYPERLINK("http://dx.doi.org/10.1016/j.neuroimage.2021.117998","http://dx.doi.org/10.1016/j.neuroimage.2021.117998")</f>
        <v>http://dx.doi.org/10.1016/j.neuroimage.2021.117998</v>
      </c>
      <c r="BG946" s="1" t="s">
        <v>74</v>
      </c>
      <c r="BH946" s="1" t="s">
        <v>241</v>
      </c>
      <c r="BI946" s="1" t="s">
        <v>74</v>
      </c>
      <c r="BJ946" s="1" t="s">
        <v>74</v>
      </c>
      <c r="BK946" s="1" t="s">
        <v>74</v>
      </c>
      <c r="BL946" s="1" t="s">
        <v>74</v>
      </c>
      <c r="BM946" s="1" t="s">
        <v>74</v>
      </c>
      <c r="BN946" s="1">
        <v>3.3789131E7</v>
      </c>
      <c r="BO946" s="1" t="s">
        <v>74</v>
      </c>
      <c r="BP946" s="1" t="s">
        <v>74</v>
      </c>
      <c r="BQ946" s="1" t="s">
        <v>74</v>
      </c>
      <c r="BR946" s="1" t="s">
        <v>74</v>
      </c>
      <c r="BS946" s="1" t="s">
        <v>9356</v>
      </c>
      <c r="BT946" s="1" t="str">
        <f>HYPERLINK("https%3A%2F%2Fwww.webofscience.com%2Fwos%2Fwoscc%2Ffull-record%2FWOS:000662975000001","View Full Record in Web of Science")</f>
        <v>View Full Record in Web of Science</v>
      </c>
    </row>
    <row r="947" ht="12.75" customHeight="1">
      <c r="A947" s="1" t="s">
        <v>72</v>
      </c>
      <c r="B947" s="1" t="s">
        <v>9357</v>
      </c>
      <c r="C947" s="1" t="s">
        <v>74</v>
      </c>
      <c r="D947" s="1" t="s">
        <v>74</v>
      </c>
      <c r="E947" s="1" t="s">
        <v>74</v>
      </c>
      <c r="F947" s="1" t="s">
        <v>9358</v>
      </c>
      <c r="G947" s="1" t="s">
        <v>74</v>
      </c>
      <c r="H947" s="1" t="s">
        <v>74</v>
      </c>
      <c r="I947" s="1" t="s">
        <v>9359</v>
      </c>
      <c r="J947" s="1" t="s">
        <v>1226</v>
      </c>
      <c r="K947" s="1" t="s">
        <v>74</v>
      </c>
      <c r="L947" s="1" t="s">
        <v>74</v>
      </c>
      <c r="M947" s="1" t="s">
        <v>74</v>
      </c>
      <c r="N947" s="1" t="s">
        <v>74</v>
      </c>
      <c r="O947" s="1" t="s">
        <v>74</v>
      </c>
      <c r="P947" s="1" t="s">
        <v>74</v>
      </c>
      <c r="Q947" s="1" t="s">
        <v>74</v>
      </c>
      <c r="R947" s="1" t="s">
        <v>74</v>
      </c>
      <c r="S947" s="1" t="s">
        <v>74</v>
      </c>
      <c r="T947" s="1" t="s">
        <v>74</v>
      </c>
      <c r="U947" s="1" t="s">
        <v>74</v>
      </c>
      <c r="V947" s="1" t="s">
        <v>9360</v>
      </c>
      <c r="W947" s="1" t="s">
        <v>74</v>
      </c>
      <c r="X947" s="1" t="s">
        <v>74</v>
      </c>
      <c r="Y947" s="1" t="s">
        <v>74</v>
      </c>
      <c r="Z947" s="1" t="s">
        <v>74</v>
      </c>
      <c r="AA947" s="1" t="s">
        <v>9361</v>
      </c>
      <c r="AB947" s="1" t="s">
        <v>9362</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1228</v>
      </c>
      <c r="AP947" s="1" t="s">
        <v>1229</v>
      </c>
      <c r="AQ947" s="1" t="s">
        <v>74</v>
      </c>
      <c r="AR947" s="1" t="s">
        <v>74</v>
      </c>
      <c r="AS947" s="1" t="s">
        <v>74</v>
      </c>
      <c r="AT947" s="1" t="s">
        <v>9363</v>
      </c>
      <c r="AU947" s="1">
        <v>2023.0</v>
      </c>
      <c r="AV947" s="1">
        <v>675.0</v>
      </c>
      <c r="AW947" s="1" t="s">
        <v>74</v>
      </c>
      <c r="AX947" s="1" t="s">
        <v>74</v>
      </c>
      <c r="AY947" s="1" t="s">
        <v>74</v>
      </c>
      <c r="AZ947" s="1" t="s">
        <v>74</v>
      </c>
      <c r="BA947" s="1" t="s">
        <v>74</v>
      </c>
      <c r="BB947" s="1" t="s">
        <v>74</v>
      </c>
      <c r="BC947" s="1" t="s">
        <v>74</v>
      </c>
      <c r="BD947" s="1" t="s">
        <v>9364</v>
      </c>
      <c r="BE947" s="1" t="s">
        <v>9365</v>
      </c>
      <c r="BF947" s="2" t="str">
        <f>HYPERLINK("http://dx.doi.org/10.1051/0004-6361/202346077","http://dx.doi.org/10.1051/0004-6361/202346077")</f>
        <v>http://dx.doi.org/10.1051/0004-6361/202346077</v>
      </c>
      <c r="BG947" s="1" t="s">
        <v>74</v>
      </c>
      <c r="BH947" s="1" t="s">
        <v>74</v>
      </c>
      <c r="BI947" s="1" t="s">
        <v>74</v>
      </c>
      <c r="BJ947" s="1" t="s">
        <v>74</v>
      </c>
      <c r="BK947" s="1" t="s">
        <v>74</v>
      </c>
      <c r="BL947" s="1" t="s">
        <v>74</v>
      </c>
      <c r="BM947" s="1" t="s">
        <v>74</v>
      </c>
      <c r="BN947" s="1" t="s">
        <v>74</v>
      </c>
      <c r="BO947" s="1" t="s">
        <v>74</v>
      </c>
      <c r="BP947" s="1" t="s">
        <v>74</v>
      </c>
      <c r="BQ947" s="1" t="s">
        <v>74</v>
      </c>
      <c r="BR947" s="1" t="s">
        <v>74</v>
      </c>
      <c r="BS947" s="1" t="s">
        <v>9366</v>
      </c>
      <c r="BT947" s="1" t="str">
        <f>HYPERLINK("https%3A%2F%2Fwww.webofscience.com%2Fwos%2Fwoscc%2Ffull-record%2FWOS:001033667500009","View Full Record in Web of Science")</f>
        <v>View Full Record in Web of Science</v>
      </c>
    </row>
    <row r="948" ht="12.75" customHeight="1">
      <c r="A948" s="1" t="s">
        <v>72</v>
      </c>
      <c r="B948" s="1" t="s">
        <v>9367</v>
      </c>
      <c r="C948" s="1" t="s">
        <v>74</v>
      </c>
      <c r="D948" s="1" t="s">
        <v>74</v>
      </c>
      <c r="E948" s="1" t="s">
        <v>74</v>
      </c>
      <c r="F948" s="1" t="s">
        <v>9368</v>
      </c>
      <c r="G948" s="1" t="s">
        <v>74</v>
      </c>
      <c r="H948" s="1" t="s">
        <v>74</v>
      </c>
      <c r="I948" s="1" t="s">
        <v>9369</v>
      </c>
      <c r="J948" s="1" t="s">
        <v>9370</v>
      </c>
      <c r="K948" s="1" t="s">
        <v>74</v>
      </c>
      <c r="L948" s="1" t="s">
        <v>74</v>
      </c>
      <c r="M948" s="1" t="s">
        <v>74</v>
      </c>
      <c r="N948" s="1" t="s">
        <v>74</v>
      </c>
      <c r="O948" s="1" t="s">
        <v>74</v>
      </c>
      <c r="P948" s="1" t="s">
        <v>74</v>
      </c>
      <c r="Q948" s="1" t="s">
        <v>74</v>
      </c>
      <c r="R948" s="1" t="s">
        <v>74</v>
      </c>
      <c r="S948" s="1" t="s">
        <v>74</v>
      </c>
      <c r="T948" s="1" t="s">
        <v>74</v>
      </c>
      <c r="U948" s="1" t="s">
        <v>74</v>
      </c>
      <c r="V948" s="1" t="s">
        <v>9371</v>
      </c>
      <c r="W948" s="1" t="s">
        <v>74</v>
      </c>
      <c r="X948" s="1" t="s">
        <v>74</v>
      </c>
      <c r="Y948" s="1" t="s">
        <v>74</v>
      </c>
      <c r="Z948" s="1" t="s">
        <v>74</v>
      </c>
      <c r="AA948" s="1" t="s">
        <v>9372</v>
      </c>
      <c r="AB948" s="1" t="s">
        <v>9373</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9374</v>
      </c>
      <c r="AP948" s="1" t="s">
        <v>9375</v>
      </c>
      <c r="AQ948" s="1" t="s">
        <v>74</v>
      </c>
      <c r="AR948" s="1" t="s">
        <v>74</v>
      </c>
      <c r="AS948" s="1" t="s">
        <v>74</v>
      </c>
      <c r="AT948" s="1" t="s">
        <v>239</v>
      </c>
      <c r="AU948" s="1">
        <v>2018.0</v>
      </c>
      <c r="AV948" s="1">
        <v>23.0</v>
      </c>
      <c r="AW948" s="1">
        <v>5.0</v>
      </c>
      <c r="AX948" s="1" t="s">
        <v>74</v>
      </c>
      <c r="AY948" s="1" t="s">
        <v>74</v>
      </c>
      <c r="AZ948" s="1" t="s">
        <v>74</v>
      </c>
      <c r="BA948" s="1" t="s">
        <v>74</v>
      </c>
      <c r="BB948" s="1">
        <v>1233.0</v>
      </c>
      <c r="BC948" s="1">
        <v>1243.0</v>
      </c>
      <c r="BD948" s="1" t="s">
        <v>74</v>
      </c>
      <c r="BE948" s="1" t="s">
        <v>9376</v>
      </c>
      <c r="BF948" s="2" t="str">
        <f>HYPERLINK("http://dx.doi.org/10.1038/mp.2017.22","http://dx.doi.org/10.1038/mp.2017.22")</f>
        <v>http://dx.doi.org/10.1038/mp.2017.22</v>
      </c>
      <c r="BG948" s="1" t="s">
        <v>74</v>
      </c>
      <c r="BH948" s="1" t="s">
        <v>74</v>
      </c>
      <c r="BI948" s="1" t="s">
        <v>74</v>
      </c>
      <c r="BJ948" s="1" t="s">
        <v>74</v>
      </c>
      <c r="BK948" s="1" t="s">
        <v>74</v>
      </c>
      <c r="BL948" s="1" t="s">
        <v>74</v>
      </c>
      <c r="BM948" s="1" t="s">
        <v>74</v>
      </c>
      <c r="BN948" s="1">
        <v>2.8322273E7</v>
      </c>
      <c r="BO948" s="1" t="s">
        <v>74</v>
      </c>
      <c r="BP948" s="1" t="s">
        <v>74</v>
      </c>
      <c r="BQ948" s="1" t="s">
        <v>74</v>
      </c>
      <c r="BR948" s="1" t="s">
        <v>74</v>
      </c>
      <c r="BS948" s="1" t="s">
        <v>9377</v>
      </c>
      <c r="BT948" s="1" t="str">
        <f>HYPERLINK("https%3A%2F%2Fwww.webofscience.com%2Fwos%2Fwoscc%2Ffull-record%2FWOS:000431614600016","View Full Record in Web of Science")</f>
        <v>View Full Record in Web of Science</v>
      </c>
    </row>
    <row r="949" ht="12.75" customHeight="1">
      <c r="A949" s="1" t="s">
        <v>72</v>
      </c>
      <c r="B949" s="1" t="s">
        <v>9378</v>
      </c>
      <c r="C949" s="1" t="s">
        <v>74</v>
      </c>
      <c r="D949" s="1" t="s">
        <v>74</v>
      </c>
      <c r="E949" s="1" t="s">
        <v>74</v>
      </c>
      <c r="F949" s="1" t="s">
        <v>9379</v>
      </c>
      <c r="G949" s="1" t="s">
        <v>74</v>
      </c>
      <c r="H949" s="1" t="s">
        <v>74</v>
      </c>
      <c r="I949" s="1" t="s">
        <v>9380</v>
      </c>
      <c r="J949" s="1" t="s">
        <v>9381</v>
      </c>
      <c r="K949" s="1" t="s">
        <v>74</v>
      </c>
      <c r="L949" s="1" t="s">
        <v>74</v>
      </c>
      <c r="M949" s="1" t="s">
        <v>74</v>
      </c>
      <c r="N949" s="1" t="s">
        <v>74</v>
      </c>
      <c r="O949" s="1" t="s">
        <v>74</v>
      </c>
      <c r="P949" s="1" t="s">
        <v>74</v>
      </c>
      <c r="Q949" s="1" t="s">
        <v>74</v>
      </c>
      <c r="R949" s="1" t="s">
        <v>74</v>
      </c>
      <c r="S949" s="1" t="s">
        <v>74</v>
      </c>
      <c r="T949" s="1" t="s">
        <v>74</v>
      </c>
      <c r="U949" s="1" t="s">
        <v>74</v>
      </c>
      <c r="V949" s="1" t="s">
        <v>9382</v>
      </c>
      <c r="W949" s="1" t="s">
        <v>74</v>
      </c>
      <c r="X949" s="1" t="s">
        <v>74</v>
      </c>
      <c r="Y949" s="1" t="s">
        <v>74</v>
      </c>
      <c r="Z949" s="1" t="s">
        <v>74</v>
      </c>
      <c r="AA949" s="1" t="s">
        <v>9383</v>
      </c>
      <c r="AB949" s="1" t="s">
        <v>9384</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9385</v>
      </c>
      <c r="AP949" s="1" t="s">
        <v>9386</v>
      </c>
      <c r="AQ949" s="1" t="s">
        <v>74</v>
      </c>
      <c r="AR949" s="1" t="s">
        <v>74</v>
      </c>
      <c r="AS949" s="1" t="s">
        <v>74</v>
      </c>
      <c r="AT949" s="1" t="s">
        <v>94</v>
      </c>
      <c r="AU949" s="1">
        <v>2022.0</v>
      </c>
      <c r="AV949" s="1">
        <v>62.0</v>
      </c>
      <c r="AW949" s="1" t="s">
        <v>3798</v>
      </c>
      <c r="AX949" s="1" t="s">
        <v>74</v>
      </c>
      <c r="AY949" s="1" t="s">
        <v>74</v>
      </c>
      <c r="AZ949" s="1" t="s">
        <v>448</v>
      </c>
      <c r="BA949" s="1" t="s">
        <v>74</v>
      </c>
      <c r="BB949" s="1" t="s">
        <v>74</v>
      </c>
      <c r="BC949" s="1" t="s">
        <v>74</v>
      </c>
      <c r="BD949" s="1" t="s">
        <v>74</v>
      </c>
      <c r="BE949" s="1" t="s">
        <v>9387</v>
      </c>
      <c r="BF949" s="2" t="str">
        <f>HYPERLINK("http://dx.doi.org/10.1002/ijch.202200090","http://dx.doi.org/10.1002/ijch.202200090")</f>
        <v>http://dx.doi.org/10.1002/ijch.202200090</v>
      </c>
      <c r="BG949" s="1" t="s">
        <v>74</v>
      </c>
      <c r="BH949" s="1" t="s">
        <v>3779</v>
      </c>
      <c r="BI949" s="1" t="s">
        <v>74</v>
      </c>
      <c r="BJ949" s="1" t="s">
        <v>74</v>
      </c>
      <c r="BK949" s="1" t="s">
        <v>74</v>
      </c>
      <c r="BL949" s="1" t="s">
        <v>74</v>
      </c>
      <c r="BM949" s="1" t="s">
        <v>74</v>
      </c>
      <c r="BN949" s="1" t="s">
        <v>74</v>
      </c>
      <c r="BO949" s="1" t="s">
        <v>74</v>
      </c>
      <c r="BP949" s="1" t="s">
        <v>74</v>
      </c>
      <c r="BQ949" s="1" t="s">
        <v>74</v>
      </c>
      <c r="BR949" s="1" t="s">
        <v>74</v>
      </c>
      <c r="BS949" s="1" t="s">
        <v>9388</v>
      </c>
      <c r="BT949" s="1" t="str">
        <f>HYPERLINK("https%3A%2F%2Fwww.webofscience.com%2Fwos%2Fwoscc%2Ffull-record%2FWOS:000900343600001","View Full Record in Web of Science")</f>
        <v>View Full Record in Web of Science</v>
      </c>
    </row>
    <row r="950" ht="12.75" customHeight="1">
      <c r="A950" s="1" t="s">
        <v>72</v>
      </c>
      <c r="B950" s="1" t="s">
        <v>9389</v>
      </c>
      <c r="C950" s="1" t="s">
        <v>74</v>
      </c>
      <c r="D950" s="1" t="s">
        <v>74</v>
      </c>
      <c r="E950" s="1" t="s">
        <v>74</v>
      </c>
      <c r="F950" s="1" t="s">
        <v>9390</v>
      </c>
      <c r="G950" s="1" t="s">
        <v>74</v>
      </c>
      <c r="H950" s="1" t="s">
        <v>74</v>
      </c>
      <c r="I950" s="1" t="s">
        <v>9391</v>
      </c>
      <c r="J950" s="1" t="s">
        <v>9392</v>
      </c>
      <c r="K950" s="1" t="s">
        <v>74</v>
      </c>
      <c r="L950" s="1" t="s">
        <v>74</v>
      </c>
      <c r="M950" s="1" t="s">
        <v>74</v>
      </c>
      <c r="N950" s="1" t="s">
        <v>74</v>
      </c>
      <c r="O950" s="1" t="s">
        <v>74</v>
      </c>
      <c r="P950" s="1" t="s">
        <v>74</v>
      </c>
      <c r="Q950" s="1" t="s">
        <v>74</v>
      </c>
      <c r="R950" s="1" t="s">
        <v>74</v>
      </c>
      <c r="S950" s="1" t="s">
        <v>74</v>
      </c>
      <c r="T950" s="1" t="s">
        <v>74</v>
      </c>
      <c r="U950" s="1" t="s">
        <v>74</v>
      </c>
      <c r="V950" s="1" t="s">
        <v>9393</v>
      </c>
      <c r="W950" s="1" t="s">
        <v>74</v>
      </c>
      <c r="X950" s="1" t="s">
        <v>74</v>
      </c>
      <c r="Y950" s="1" t="s">
        <v>74</v>
      </c>
      <c r="Z950" s="1" t="s">
        <v>74</v>
      </c>
      <c r="AA950" s="1" t="s">
        <v>9394</v>
      </c>
      <c r="AB950" s="1" t="s">
        <v>9395</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74</v>
      </c>
      <c r="AP950" s="1" t="s">
        <v>9396</v>
      </c>
      <c r="AQ950" s="1" t="s">
        <v>74</v>
      </c>
      <c r="AR950" s="1" t="s">
        <v>74</v>
      </c>
      <c r="AS950" s="1" t="s">
        <v>74</v>
      </c>
      <c r="AT950" s="1" t="s">
        <v>9397</v>
      </c>
      <c r="AU950" s="1">
        <v>2023.0</v>
      </c>
      <c r="AV950" s="1">
        <v>3.0</v>
      </c>
      <c r="AW950" s="1">
        <v>3.0</v>
      </c>
      <c r="AX950" s="1" t="s">
        <v>74</v>
      </c>
      <c r="AY950" s="1" t="s">
        <v>74</v>
      </c>
      <c r="AZ950" s="1" t="s">
        <v>74</v>
      </c>
      <c r="BA950" s="1" t="s">
        <v>74</v>
      </c>
      <c r="BB950" s="1" t="s">
        <v>74</v>
      </c>
      <c r="BC950" s="1" t="s">
        <v>74</v>
      </c>
      <c r="BD950" s="1" t="s">
        <v>9398</v>
      </c>
      <c r="BE950" s="1" t="s">
        <v>9399</v>
      </c>
      <c r="BF950" s="2" t="str">
        <f>HYPERLINK("http://dx.doi.org/10.1371/journal.pgph.0001014","http://dx.doi.org/10.1371/journal.pgph.0001014")</f>
        <v>http://dx.doi.org/10.1371/journal.pgph.0001014</v>
      </c>
      <c r="BG950" s="1" t="s">
        <v>74</v>
      </c>
      <c r="BH950" s="1" t="s">
        <v>74</v>
      </c>
      <c r="BI950" s="1" t="s">
        <v>74</v>
      </c>
      <c r="BJ950" s="1" t="s">
        <v>74</v>
      </c>
      <c r="BK950" s="1" t="s">
        <v>74</v>
      </c>
      <c r="BL950" s="1" t="s">
        <v>74</v>
      </c>
      <c r="BM950" s="1" t="s">
        <v>74</v>
      </c>
      <c r="BN950" s="1">
        <v>3.6963038E7</v>
      </c>
      <c r="BO950" s="1" t="s">
        <v>74</v>
      </c>
      <c r="BP950" s="1" t="s">
        <v>74</v>
      </c>
      <c r="BQ950" s="1" t="s">
        <v>74</v>
      </c>
      <c r="BR950" s="1" t="s">
        <v>74</v>
      </c>
      <c r="BS950" s="1" t="s">
        <v>9400</v>
      </c>
      <c r="BT950" s="1" t="str">
        <f>HYPERLINK("https%3A%2F%2Fwww.webofscience.com%2Fwos%2Fwoscc%2Ffull-record%2FWOS:001417844300001","View Full Record in Web of Science")</f>
        <v>View Full Record in Web of Science</v>
      </c>
    </row>
    <row r="951" ht="12.75" customHeight="1">
      <c r="A951" s="1" t="s">
        <v>72</v>
      </c>
      <c r="B951" s="1" t="s">
        <v>9401</v>
      </c>
      <c r="C951" s="1" t="s">
        <v>74</v>
      </c>
      <c r="D951" s="1" t="s">
        <v>74</v>
      </c>
      <c r="E951" s="1" t="s">
        <v>74</v>
      </c>
      <c r="F951" s="1" t="s">
        <v>9402</v>
      </c>
      <c r="G951" s="1" t="s">
        <v>74</v>
      </c>
      <c r="H951" s="1" t="s">
        <v>74</v>
      </c>
      <c r="I951" s="1" t="s">
        <v>9403</v>
      </c>
      <c r="J951" s="1" t="s">
        <v>3348</v>
      </c>
      <c r="K951" s="1" t="s">
        <v>74</v>
      </c>
      <c r="L951" s="1" t="s">
        <v>74</v>
      </c>
      <c r="M951" s="1" t="s">
        <v>74</v>
      </c>
      <c r="N951" s="1" t="s">
        <v>74</v>
      </c>
      <c r="O951" s="1" t="s">
        <v>74</v>
      </c>
      <c r="P951" s="1" t="s">
        <v>74</v>
      </c>
      <c r="Q951" s="1" t="s">
        <v>74</v>
      </c>
      <c r="R951" s="1" t="s">
        <v>74</v>
      </c>
      <c r="S951" s="1" t="s">
        <v>74</v>
      </c>
      <c r="T951" s="1" t="s">
        <v>74</v>
      </c>
      <c r="U951" s="1" t="s">
        <v>74</v>
      </c>
      <c r="V951" s="1" t="s">
        <v>9404</v>
      </c>
      <c r="W951" s="1" t="s">
        <v>74</v>
      </c>
      <c r="X951" s="1" t="s">
        <v>74</v>
      </c>
      <c r="Y951" s="1" t="s">
        <v>74</v>
      </c>
      <c r="Z951" s="1" t="s">
        <v>74</v>
      </c>
      <c r="AA951" s="1" t="s">
        <v>9405</v>
      </c>
      <c r="AB951" s="1" t="s">
        <v>9406</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3352</v>
      </c>
      <c r="AP951" s="1" t="s">
        <v>3353</v>
      </c>
      <c r="AQ951" s="1" t="s">
        <v>74</v>
      </c>
      <c r="AR951" s="1" t="s">
        <v>74</v>
      </c>
      <c r="AS951" s="1" t="s">
        <v>74</v>
      </c>
      <c r="AT951" s="1" t="s">
        <v>9407</v>
      </c>
      <c r="AU951" s="1">
        <v>2019.0</v>
      </c>
      <c r="AV951" s="1">
        <v>141.0</v>
      </c>
      <c r="AW951" s="1">
        <v>39.0</v>
      </c>
      <c r="AX951" s="1" t="s">
        <v>74</v>
      </c>
      <c r="AY951" s="1" t="s">
        <v>74</v>
      </c>
      <c r="AZ951" s="1" t="s">
        <v>74</v>
      </c>
      <c r="BA951" s="1" t="s">
        <v>74</v>
      </c>
      <c r="BB951" s="1">
        <v>15605.0</v>
      </c>
      <c r="BC951" s="1">
        <v>15610.0</v>
      </c>
      <c r="BD951" s="1" t="s">
        <v>74</v>
      </c>
      <c r="BE951" s="1" t="s">
        <v>9408</v>
      </c>
      <c r="BF951" s="2" t="str">
        <f>HYPERLINK("http://dx.doi.org/10.1021/jacs.9b06966","http://dx.doi.org/10.1021/jacs.9b06966")</f>
        <v>http://dx.doi.org/10.1021/jacs.9b06966</v>
      </c>
      <c r="BG951" s="1" t="s">
        <v>74</v>
      </c>
      <c r="BH951" s="1" t="s">
        <v>74</v>
      </c>
      <c r="BI951" s="1" t="s">
        <v>74</v>
      </c>
      <c r="BJ951" s="1" t="s">
        <v>74</v>
      </c>
      <c r="BK951" s="1" t="s">
        <v>74</v>
      </c>
      <c r="BL951" s="1" t="s">
        <v>74</v>
      </c>
      <c r="BM951" s="1" t="s">
        <v>74</v>
      </c>
      <c r="BN951" s="1">
        <v>3.1536338E7</v>
      </c>
      <c r="BO951" s="1" t="s">
        <v>74</v>
      </c>
      <c r="BP951" s="1" t="s">
        <v>74</v>
      </c>
      <c r="BQ951" s="1" t="s">
        <v>74</v>
      </c>
      <c r="BR951" s="1" t="s">
        <v>74</v>
      </c>
      <c r="BS951" s="1" t="s">
        <v>9409</v>
      </c>
      <c r="BT951" s="1" t="str">
        <f>HYPERLINK("https%3A%2F%2Fwww.webofscience.com%2Fwos%2Fwoscc%2Ffull-record%2FWOS:000489001500020","View Full Record in Web of Science")</f>
        <v>View Full Record in Web of Science</v>
      </c>
    </row>
    <row r="952" ht="12.75" customHeight="1">
      <c r="A952" s="1" t="s">
        <v>72</v>
      </c>
      <c r="B952" s="1" t="s">
        <v>9410</v>
      </c>
      <c r="C952" s="1" t="s">
        <v>74</v>
      </c>
      <c r="D952" s="1" t="s">
        <v>74</v>
      </c>
      <c r="E952" s="1" t="s">
        <v>74</v>
      </c>
      <c r="F952" s="1" t="s">
        <v>9411</v>
      </c>
      <c r="G952" s="1" t="s">
        <v>74</v>
      </c>
      <c r="H952" s="1" t="s">
        <v>74</v>
      </c>
      <c r="I952" s="1" t="s">
        <v>9412</v>
      </c>
      <c r="J952" s="1" t="s">
        <v>7548</v>
      </c>
      <c r="K952" s="1" t="s">
        <v>74</v>
      </c>
      <c r="L952" s="1" t="s">
        <v>74</v>
      </c>
      <c r="M952" s="1" t="s">
        <v>74</v>
      </c>
      <c r="N952" s="1" t="s">
        <v>74</v>
      </c>
      <c r="O952" s="1" t="s">
        <v>74</v>
      </c>
      <c r="P952" s="1" t="s">
        <v>74</v>
      </c>
      <c r="Q952" s="1" t="s">
        <v>74</v>
      </c>
      <c r="R952" s="1" t="s">
        <v>74</v>
      </c>
      <c r="S952" s="1" t="s">
        <v>74</v>
      </c>
      <c r="T952" s="1" t="s">
        <v>74</v>
      </c>
      <c r="U952" s="1" t="s">
        <v>74</v>
      </c>
      <c r="V952" s="1" t="s">
        <v>9413</v>
      </c>
      <c r="W952" s="1" t="s">
        <v>74</v>
      </c>
      <c r="X952" s="1" t="s">
        <v>74</v>
      </c>
      <c r="Y952" s="1" t="s">
        <v>74</v>
      </c>
      <c r="Z952" s="1" t="s">
        <v>74</v>
      </c>
      <c r="AA952" s="1" t="s">
        <v>9414</v>
      </c>
      <c r="AB952" s="1" t="s">
        <v>9415</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7552</v>
      </c>
      <c r="AP952" s="1" t="s">
        <v>7553</v>
      </c>
      <c r="AQ952" s="1" t="s">
        <v>74</v>
      </c>
      <c r="AR952" s="1" t="s">
        <v>74</v>
      </c>
      <c r="AS952" s="1" t="s">
        <v>74</v>
      </c>
      <c r="AT952" s="1" t="s">
        <v>9416</v>
      </c>
      <c r="AU952" s="1">
        <v>2019.0</v>
      </c>
      <c r="AV952" s="1">
        <v>58.0</v>
      </c>
      <c r="AW952" s="1">
        <v>44.0</v>
      </c>
      <c r="AX952" s="1" t="s">
        <v>74</v>
      </c>
      <c r="AY952" s="1" t="s">
        <v>74</v>
      </c>
      <c r="AZ952" s="1" t="s">
        <v>74</v>
      </c>
      <c r="BA952" s="1" t="s">
        <v>74</v>
      </c>
      <c r="BB952" s="1">
        <v>15650.0</v>
      </c>
      <c r="BC952" s="1">
        <v>15654.0</v>
      </c>
      <c r="BD952" s="1" t="s">
        <v>74</v>
      </c>
      <c r="BE952" s="1" t="s">
        <v>9417</v>
      </c>
      <c r="BF952" s="2" t="str">
        <f>HYPERLINK("http://dx.doi.org/10.1002/anie.201905056","http://dx.doi.org/10.1002/anie.201905056")</f>
        <v>http://dx.doi.org/10.1002/anie.201905056</v>
      </c>
      <c r="BG952" s="1" t="s">
        <v>74</v>
      </c>
      <c r="BH952" s="1" t="s">
        <v>9418</v>
      </c>
      <c r="BI952" s="1" t="s">
        <v>74</v>
      </c>
      <c r="BJ952" s="1" t="s">
        <v>74</v>
      </c>
      <c r="BK952" s="1" t="s">
        <v>74</v>
      </c>
      <c r="BL952" s="1" t="s">
        <v>74</v>
      </c>
      <c r="BM952" s="1" t="s">
        <v>74</v>
      </c>
      <c r="BN952" s="1">
        <v>3.129058E7</v>
      </c>
      <c r="BO952" s="1" t="s">
        <v>74</v>
      </c>
      <c r="BP952" s="1" t="s">
        <v>74</v>
      </c>
      <c r="BQ952" s="1" t="s">
        <v>74</v>
      </c>
      <c r="BR952" s="1" t="s">
        <v>74</v>
      </c>
      <c r="BS952" s="1" t="s">
        <v>9419</v>
      </c>
      <c r="BT952" s="1" t="str">
        <f>HYPERLINK("https%3A%2F%2Fwww.webofscience.com%2Fwos%2Fwoscc%2Ffull-record%2FWOS:000481299100001","View Full Record in Web of Science")</f>
        <v>View Full Record in Web of Science</v>
      </c>
    </row>
    <row r="953" ht="12.75" customHeight="1">
      <c r="A953" s="1" t="s">
        <v>72</v>
      </c>
      <c r="B953" s="1" t="s">
        <v>9420</v>
      </c>
      <c r="C953" s="1" t="s">
        <v>74</v>
      </c>
      <c r="D953" s="1" t="s">
        <v>74</v>
      </c>
      <c r="E953" s="1" t="s">
        <v>74</v>
      </c>
      <c r="F953" s="1" t="s">
        <v>9421</v>
      </c>
      <c r="G953" s="1" t="s">
        <v>74</v>
      </c>
      <c r="H953" s="1" t="s">
        <v>74</v>
      </c>
      <c r="I953" s="1" t="s">
        <v>9422</v>
      </c>
      <c r="J953" s="1" t="s">
        <v>3573</v>
      </c>
      <c r="K953" s="1" t="s">
        <v>74</v>
      </c>
      <c r="L953" s="1" t="s">
        <v>74</v>
      </c>
      <c r="M953" s="1" t="s">
        <v>74</v>
      </c>
      <c r="N953" s="1" t="s">
        <v>74</v>
      </c>
      <c r="O953" s="1" t="s">
        <v>74</v>
      </c>
      <c r="P953" s="1" t="s">
        <v>74</v>
      </c>
      <c r="Q953" s="1" t="s">
        <v>74</v>
      </c>
      <c r="R953" s="1" t="s">
        <v>74</v>
      </c>
      <c r="S953" s="1" t="s">
        <v>74</v>
      </c>
      <c r="T953" s="1" t="s">
        <v>74</v>
      </c>
      <c r="U953" s="1" t="s">
        <v>74</v>
      </c>
      <c r="V953" s="1" t="s">
        <v>9423</v>
      </c>
      <c r="W953" s="1" t="s">
        <v>74</v>
      </c>
      <c r="X953" s="1" t="s">
        <v>74</v>
      </c>
      <c r="Y953" s="1" t="s">
        <v>74</v>
      </c>
      <c r="Z953" s="1" t="s">
        <v>74</v>
      </c>
      <c r="AA953" s="1" t="s">
        <v>9424</v>
      </c>
      <c r="AB953" s="1" t="s">
        <v>9425</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3577</v>
      </c>
      <c r="AP953" s="1" t="s">
        <v>3578</v>
      </c>
      <c r="AQ953" s="1" t="s">
        <v>74</v>
      </c>
      <c r="AR953" s="1" t="s">
        <v>74</v>
      </c>
      <c r="AS953" s="1" t="s">
        <v>74</v>
      </c>
      <c r="AT953" s="1" t="s">
        <v>3322</v>
      </c>
      <c r="AU953" s="1">
        <v>2016.0</v>
      </c>
      <c r="AV953" s="1">
        <v>117.0</v>
      </c>
      <c r="AW953" s="1">
        <v>22.0</v>
      </c>
      <c r="AX953" s="1" t="s">
        <v>74</v>
      </c>
      <c r="AY953" s="1" t="s">
        <v>74</v>
      </c>
      <c r="AZ953" s="1" t="s">
        <v>74</v>
      </c>
      <c r="BA953" s="1" t="s">
        <v>74</v>
      </c>
      <c r="BB953" s="1" t="s">
        <v>74</v>
      </c>
      <c r="BC953" s="1" t="s">
        <v>74</v>
      </c>
      <c r="BD953" s="1">
        <v>227203.0</v>
      </c>
      <c r="BE953" s="1" t="s">
        <v>9426</v>
      </c>
      <c r="BF953" s="2" t="str">
        <f>HYPERLINK("http://dx.doi.org/10.1103/PhysRevLett.117.227203","http://dx.doi.org/10.1103/PhysRevLett.117.227203")</f>
        <v>http://dx.doi.org/10.1103/PhysRevLett.117.227203</v>
      </c>
      <c r="BG953" s="1" t="s">
        <v>74</v>
      </c>
      <c r="BH953" s="1" t="s">
        <v>74</v>
      </c>
      <c r="BI953" s="1" t="s">
        <v>74</v>
      </c>
      <c r="BJ953" s="1" t="s">
        <v>74</v>
      </c>
      <c r="BK953" s="1" t="s">
        <v>74</v>
      </c>
      <c r="BL953" s="1" t="s">
        <v>74</v>
      </c>
      <c r="BM953" s="1" t="s">
        <v>74</v>
      </c>
      <c r="BN953" s="1">
        <v>2.7925729E7</v>
      </c>
      <c r="BO953" s="1" t="s">
        <v>74</v>
      </c>
      <c r="BP953" s="1" t="s">
        <v>74</v>
      </c>
      <c r="BQ953" s="1" t="s">
        <v>74</v>
      </c>
      <c r="BR953" s="1" t="s">
        <v>74</v>
      </c>
      <c r="BS953" s="1" t="s">
        <v>9427</v>
      </c>
      <c r="BT953" s="1" t="str">
        <f>HYPERLINK("https%3A%2F%2Fwww.webofscience.com%2Fwos%2Fwoscc%2Ffull-record%2FWOS:000388630000029","View Full Record in Web of Science")</f>
        <v>View Full Record in Web of Science</v>
      </c>
    </row>
    <row r="954" ht="12.75" customHeight="1">
      <c r="A954" s="1" t="s">
        <v>72</v>
      </c>
      <c r="B954" s="1" t="s">
        <v>9428</v>
      </c>
      <c r="C954" s="1" t="s">
        <v>74</v>
      </c>
      <c r="D954" s="1" t="s">
        <v>74</v>
      </c>
      <c r="E954" s="1" t="s">
        <v>74</v>
      </c>
      <c r="F954" s="1" t="s">
        <v>9429</v>
      </c>
      <c r="G954" s="1" t="s">
        <v>74</v>
      </c>
      <c r="H954" s="1" t="s">
        <v>74</v>
      </c>
      <c r="I954" s="1" t="s">
        <v>9430</v>
      </c>
      <c r="J954" s="1" t="s">
        <v>9431</v>
      </c>
      <c r="K954" s="1" t="s">
        <v>74</v>
      </c>
      <c r="L954" s="1" t="s">
        <v>74</v>
      </c>
      <c r="M954" s="1" t="s">
        <v>74</v>
      </c>
      <c r="N954" s="1" t="s">
        <v>74</v>
      </c>
      <c r="O954" s="1" t="s">
        <v>74</v>
      </c>
      <c r="P954" s="1" t="s">
        <v>74</v>
      </c>
      <c r="Q954" s="1" t="s">
        <v>74</v>
      </c>
      <c r="R954" s="1" t="s">
        <v>74</v>
      </c>
      <c r="S954" s="1" t="s">
        <v>74</v>
      </c>
      <c r="T954" s="1" t="s">
        <v>74</v>
      </c>
      <c r="U954" s="1" t="s">
        <v>74</v>
      </c>
      <c r="V954" s="1" t="s">
        <v>9432</v>
      </c>
      <c r="W954" s="1" t="s">
        <v>74</v>
      </c>
      <c r="X954" s="1" t="s">
        <v>74</v>
      </c>
      <c r="Y954" s="1" t="s">
        <v>74</v>
      </c>
      <c r="Z954" s="1" t="s">
        <v>74</v>
      </c>
      <c r="AA954" s="1" t="s">
        <v>9433</v>
      </c>
      <c r="AB954" s="1" t="s">
        <v>9434</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9435</v>
      </c>
      <c r="AP954" s="1" t="s">
        <v>74</v>
      </c>
      <c r="AQ954" s="1" t="s">
        <v>74</v>
      </c>
      <c r="AR954" s="1" t="s">
        <v>74</v>
      </c>
      <c r="AS954" s="1" t="s">
        <v>74</v>
      </c>
      <c r="AT954" s="1" t="s">
        <v>202</v>
      </c>
      <c r="AU954" s="1">
        <v>2020.0</v>
      </c>
      <c r="AV954" s="1">
        <v>84.0</v>
      </c>
      <c r="AW954" s="1">
        <v>1.0</v>
      </c>
      <c r="AX954" s="1" t="s">
        <v>74</v>
      </c>
      <c r="AY954" s="1" t="s">
        <v>74</v>
      </c>
      <c r="AZ954" s="1" t="s">
        <v>74</v>
      </c>
      <c r="BA954" s="1" t="s">
        <v>74</v>
      </c>
      <c r="BB954" s="1">
        <v>68.0</v>
      </c>
      <c r="BC954" s="1">
        <v>74.0</v>
      </c>
      <c r="BD954" s="1" t="s">
        <v>74</v>
      </c>
      <c r="BE954" s="1" t="s">
        <v>74</v>
      </c>
      <c r="BF954" s="1" t="s">
        <v>74</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9436</v>
      </c>
      <c r="BT954" s="1" t="str">
        <f>HYPERLINK("https%3A%2F%2Fwww.webofscience.com%2Fwos%2Fwoscc%2Ffull-record%2FWOS:000605976600008","View Full Record in Web of Science")</f>
        <v>View Full Record in Web of Science</v>
      </c>
    </row>
    <row r="955" ht="12.75" customHeight="1">
      <c r="A955" s="1" t="s">
        <v>72</v>
      </c>
      <c r="B955" s="1" t="s">
        <v>9437</v>
      </c>
      <c r="C955" s="1" t="s">
        <v>74</v>
      </c>
      <c r="D955" s="1" t="s">
        <v>74</v>
      </c>
      <c r="E955" s="1" t="s">
        <v>74</v>
      </c>
      <c r="F955" s="1" t="s">
        <v>9438</v>
      </c>
      <c r="G955" s="1" t="s">
        <v>74</v>
      </c>
      <c r="H955" s="1" t="s">
        <v>74</v>
      </c>
      <c r="I955" s="1" t="s">
        <v>9439</v>
      </c>
      <c r="J955" s="1" t="s">
        <v>9440</v>
      </c>
      <c r="K955" s="1" t="s">
        <v>74</v>
      </c>
      <c r="L955" s="1" t="s">
        <v>74</v>
      </c>
      <c r="M955" s="1" t="s">
        <v>74</v>
      </c>
      <c r="N955" s="1" t="s">
        <v>74</v>
      </c>
      <c r="O955" s="1" t="s">
        <v>74</v>
      </c>
      <c r="P955" s="1" t="s">
        <v>74</v>
      </c>
      <c r="Q955" s="1" t="s">
        <v>74</v>
      </c>
      <c r="R955" s="1" t="s">
        <v>74</v>
      </c>
      <c r="S955" s="1" t="s">
        <v>74</v>
      </c>
      <c r="T955" s="1" t="s">
        <v>74</v>
      </c>
      <c r="U955" s="1" t="s">
        <v>74</v>
      </c>
      <c r="V955" s="1" t="s">
        <v>9441</v>
      </c>
      <c r="W955" s="1" t="s">
        <v>74</v>
      </c>
      <c r="X955" s="1" t="s">
        <v>74</v>
      </c>
      <c r="Y955" s="1" t="s">
        <v>74</v>
      </c>
      <c r="Z955" s="1" t="s">
        <v>74</v>
      </c>
      <c r="AA955" s="1" t="s">
        <v>9442</v>
      </c>
      <c r="AB955" s="1" t="s">
        <v>9443</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9444</v>
      </c>
      <c r="AP955" s="1" t="s">
        <v>9445</v>
      </c>
      <c r="AQ955" s="1" t="s">
        <v>74</v>
      </c>
      <c r="AR955" s="1" t="s">
        <v>74</v>
      </c>
      <c r="AS955" s="1" t="s">
        <v>74</v>
      </c>
      <c r="AT955" s="1" t="s">
        <v>334</v>
      </c>
      <c r="AU955" s="1">
        <v>2015.0</v>
      </c>
      <c r="AV955" s="1">
        <v>8.0</v>
      </c>
      <c r="AW955" s="1">
        <v>10.0</v>
      </c>
      <c r="AX955" s="1" t="s">
        <v>74</v>
      </c>
      <c r="AY955" s="1" t="s">
        <v>74</v>
      </c>
      <c r="AZ955" s="1" t="s">
        <v>74</v>
      </c>
      <c r="BA955" s="1" t="s">
        <v>74</v>
      </c>
      <c r="BB955" s="1">
        <v>780.0</v>
      </c>
      <c r="BC955" s="1" t="s">
        <v>966</v>
      </c>
      <c r="BD955" s="1" t="s">
        <v>74</v>
      </c>
      <c r="BE955" s="1" t="s">
        <v>9446</v>
      </c>
      <c r="BF955" s="2" t="str">
        <f>HYPERLINK("http://dx.doi.org/10.1038/NGEO2516","http://dx.doi.org/10.1038/NGEO2516")</f>
        <v>http://dx.doi.org/10.1038/NGEO2516</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9447</v>
      </c>
      <c r="BT955" s="1" t="str">
        <f>HYPERLINK("https%3A%2F%2Fwww.webofscience.com%2Fwos%2Fwoscc%2Ffull-record%2FWOS:000363951200017","View Full Record in Web of Science")</f>
        <v>View Full Record in Web of Science</v>
      </c>
    </row>
    <row r="956" ht="12.75" customHeight="1">
      <c r="A956" s="1" t="s">
        <v>72</v>
      </c>
      <c r="B956" s="1" t="s">
        <v>9448</v>
      </c>
      <c r="C956" s="1" t="s">
        <v>74</v>
      </c>
      <c r="D956" s="1" t="s">
        <v>74</v>
      </c>
      <c r="E956" s="1" t="s">
        <v>74</v>
      </c>
      <c r="F956" s="1" t="s">
        <v>9449</v>
      </c>
      <c r="G956" s="1" t="s">
        <v>74</v>
      </c>
      <c r="H956" s="1" t="s">
        <v>74</v>
      </c>
      <c r="I956" s="1" t="s">
        <v>9450</v>
      </c>
      <c r="J956" s="1" t="s">
        <v>480</v>
      </c>
      <c r="K956" s="1" t="s">
        <v>74</v>
      </c>
      <c r="L956" s="1" t="s">
        <v>74</v>
      </c>
      <c r="M956" s="1" t="s">
        <v>74</v>
      </c>
      <c r="N956" s="1" t="s">
        <v>74</v>
      </c>
      <c r="O956" s="1" t="s">
        <v>74</v>
      </c>
      <c r="P956" s="1" t="s">
        <v>74</v>
      </c>
      <c r="Q956" s="1" t="s">
        <v>74</v>
      </c>
      <c r="R956" s="1" t="s">
        <v>74</v>
      </c>
      <c r="S956" s="1" t="s">
        <v>74</v>
      </c>
      <c r="T956" s="1" t="s">
        <v>74</v>
      </c>
      <c r="U956" s="1" t="s">
        <v>74</v>
      </c>
      <c r="V956" s="1" t="s">
        <v>9451</v>
      </c>
      <c r="W956" s="1" t="s">
        <v>74</v>
      </c>
      <c r="X956" s="1" t="s">
        <v>74</v>
      </c>
      <c r="Y956" s="1" t="s">
        <v>74</v>
      </c>
      <c r="Z956" s="1" t="s">
        <v>74</v>
      </c>
      <c r="AA956" s="1" t="s">
        <v>9452</v>
      </c>
      <c r="AB956" s="1" t="s">
        <v>9453</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484</v>
      </c>
      <c r="AP956" s="1" t="s">
        <v>74</v>
      </c>
      <c r="AQ956" s="1" t="s">
        <v>74</v>
      </c>
      <c r="AR956" s="1" t="s">
        <v>74</v>
      </c>
      <c r="AS956" s="1" t="s">
        <v>74</v>
      </c>
      <c r="AT956" s="1" t="s">
        <v>9454</v>
      </c>
      <c r="AU956" s="1">
        <v>2024.0</v>
      </c>
      <c r="AV956" s="1">
        <v>14.0</v>
      </c>
      <c r="AW956" s="1">
        <v>1.0</v>
      </c>
      <c r="AX956" s="1" t="s">
        <v>74</v>
      </c>
      <c r="AY956" s="1" t="s">
        <v>74</v>
      </c>
      <c r="AZ956" s="1" t="s">
        <v>74</v>
      </c>
      <c r="BA956" s="1" t="s">
        <v>74</v>
      </c>
      <c r="BB956" s="1" t="s">
        <v>74</v>
      </c>
      <c r="BC956" s="1" t="s">
        <v>74</v>
      </c>
      <c r="BD956" s="1">
        <v>26365.0</v>
      </c>
      <c r="BE956" s="1" t="s">
        <v>9455</v>
      </c>
      <c r="BF956" s="2" t="str">
        <f>HYPERLINK("http://dx.doi.org/10.1038/s41598-024-78014-0","http://dx.doi.org/10.1038/s41598-024-78014-0")</f>
        <v>http://dx.doi.org/10.1038/s41598-024-78014-0</v>
      </c>
      <c r="BG956" s="1" t="s">
        <v>74</v>
      </c>
      <c r="BH956" s="1" t="s">
        <v>74</v>
      </c>
      <c r="BI956" s="1" t="s">
        <v>74</v>
      </c>
      <c r="BJ956" s="1" t="s">
        <v>74</v>
      </c>
      <c r="BK956" s="1" t="s">
        <v>74</v>
      </c>
      <c r="BL956" s="1" t="s">
        <v>74</v>
      </c>
      <c r="BM956" s="1" t="s">
        <v>74</v>
      </c>
      <c r="BN956" s="1">
        <v>3.9528558E7</v>
      </c>
      <c r="BO956" s="1" t="s">
        <v>74</v>
      </c>
      <c r="BP956" s="1" t="s">
        <v>74</v>
      </c>
      <c r="BQ956" s="1" t="s">
        <v>74</v>
      </c>
      <c r="BR956" s="1" t="s">
        <v>74</v>
      </c>
      <c r="BS956" s="1" t="s">
        <v>9456</v>
      </c>
      <c r="BT956" s="1" t="str">
        <f>HYPERLINK("https%3A%2F%2Fwww.webofscience.com%2Fwos%2Fwoscc%2Ffull-record%2FWOS:001352968700015","View Full Record in Web of Science")</f>
        <v>View Full Record in Web of Science</v>
      </c>
    </row>
    <row r="957" ht="12.75" customHeight="1">
      <c r="A957" s="1" t="s">
        <v>72</v>
      </c>
      <c r="B957" s="1" t="s">
        <v>9457</v>
      </c>
      <c r="C957" s="1" t="s">
        <v>74</v>
      </c>
      <c r="D957" s="1" t="s">
        <v>74</v>
      </c>
      <c r="E957" s="1" t="s">
        <v>74</v>
      </c>
      <c r="F957" s="1" t="s">
        <v>9458</v>
      </c>
      <c r="G957" s="1" t="s">
        <v>74</v>
      </c>
      <c r="H957" s="1" t="s">
        <v>74</v>
      </c>
      <c r="I957" s="1" t="s">
        <v>9459</v>
      </c>
      <c r="J957" s="1" t="s">
        <v>9460</v>
      </c>
      <c r="K957" s="1" t="s">
        <v>74</v>
      </c>
      <c r="L957" s="1" t="s">
        <v>74</v>
      </c>
      <c r="M957" s="1" t="s">
        <v>74</v>
      </c>
      <c r="N957" s="1" t="s">
        <v>74</v>
      </c>
      <c r="O957" s="1" t="s">
        <v>74</v>
      </c>
      <c r="P957" s="1" t="s">
        <v>74</v>
      </c>
      <c r="Q957" s="1" t="s">
        <v>74</v>
      </c>
      <c r="R957" s="1" t="s">
        <v>74</v>
      </c>
      <c r="S957" s="1" t="s">
        <v>74</v>
      </c>
      <c r="T957" s="1" t="s">
        <v>74</v>
      </c>
      <c r="U957" s="1" t="s">
        <v>74</v>
      </c>
      <c r="V957" s="1" t="s">
        <v>9461</v>
      </c>
      <c r="W957" s="1" t="s">
        <v>74</v>
      </c>
      <c r="X957" s="1" t="s">
        <v>74</v>
      </c>
      <c r="Y957" s="1" t="s">
        <v>74</v>
      </c>
      <c r="Z957" s="1" t="s">
        <v>74</v>
      </c>
      <c r="AA957" s="1" t="s">
        <v>9462</v>
      </c>
      <c r="AB957" s="1" t="s">
        <v>9463</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74</v>
      </c>
      <c r="AP957" s="1" t="s">
        <v>9464</v>
      </c>
      <c r="AQ957" s="1" t="s">
        <v>74</v>
      </c>
      <c r="AR957" s="1" t="s">
        <v>74</v>
      </c>
      <c r="AS957" s="1" t="s">
        <v>74</v>
      </c>
      <c r="AT957" s="1" t="s">
        <v>988</v>
      </c>
      <c r="AU957" s="1">
        <v>2022.0</v>
      </c>
      <c r="AV957" s="1">
        <v>5.0</v>
      </c>
      <c r="AW957" s="1">
        <v>1.0</v>
      </c>
      <c r="AX957" s="1" t="s">
        <v>74</v>
      </c>
      <c r="AY957" s="1" t="s">
        <v>74</v>
      </c>
      <c r="AZ957" s="1" t="s">
        <v>74</v>
      </c>
      <c r="BA957" s="1" t="s">
        <v>74</v>
      </c>
      <c r="BB957" s="1">
        <v>1472.0</v>
      </c>
      <c r="BC957" s="1">
        <v>1483.0</v>
      </c>
      <c r="BD957" s="1" t="s">
        <v>74</v>
      </c>
      <c r="BE957" s="1" t="s">
        <v>9465</v>
      </c>
      <c r="BF957" s="2" t="str">
        <f>HYPERLINK("http://dx.doi.org/10.1021/acsanm.1c04031","http://dx.doi.org/10.1021/acsanm.1c04031")</f>
        <v>http://dx.doi.org/10.1021/acsanm.1c04031</v>
      </c>
      <c r="BG957" s="1" t="s">
        <v>74</v>
      </c>
      <c r="BH957" s="1" t="s">
        <v>1519</v>
      </c>
      <c r="BI957" s="1" t="s">
        <v>74</v>
      </c>
      <c r="BJ957" s="1" t="s">
        <v>74</v>
      </c>
      <c r="BK957" s="1" t="s">
        <v>74</v>
      </c>
      <c r="BL957" s="1" t="s">
        <v>74</v>
      </c>
      <c r="BM957" s="1" t="s">
        <v>74</v>
      </c>
      <c r="BN957" s="1" t="s">
        <v>74</v>
      </c>
      <c r="BO957" s="1" t="s">
        <v>74</v>
      </c>
      <c r="BP957" s="1" t="s">
        <v>74</v>
      </c>
      <c r="BQ957" s="1" t="s">
        <v>74</v>
      </c>
      <c r="BR957" s="1" t="s">
        <v>74</v>
      </c>
      <c r="BS957" s="1" t="s">
        <v>9466</v>
      </c>
      <c r="BT957" s="1" t="str">
        <f>HYPERLINK("https%3A%2F%2Fwww.webofscience.com%2Fwos%2Fwoscc%2Ffull-record%2FWOS:000740506500001","View Full Record in Web of Science")</f>
        <v>View Full Record in Web of Science</v>
      </c>
    </row>
    <row r="958" ht="12.75" customHeight="1">
      <c r="A958" s="1" t="s">
        <v>72</v>
      </c>
      <c r="B958" s="1" t="s">
        <v>9467</v>
      </c>
      <c r="C958" s="1" t="s">
        <v>74</v>
      </c>
      <c r="D958" s="1" t="s">
        <v>74</v>
      </c>
      <c r="E958" s="1" t="s">
        <v>74</v>
      </c>
      <c r="F958" s="1" t="s">
        <v>9468</v>
      </c>
      <c r="G958" s="1" t="s">
        <v>74</v>
      </c>
      <c r="H958" s="1" t="s">
        <v>74</v>
      </c>
      <c r="I958" s="1" t="s">
        <v>9469</v>
      </c>
      <c r="J958" s="1" t="s">
        <v>329</v>
      </c>
      <c r="K958" s="1" t="s">
        <v>74</v>
      </c>
      <c r="L958" s="1" t="s">
        <v>74</v>
      </c>
      <c r="M958" s="1" t="s">
        <v>74</v>
      </c>
      <c r="N958" s="1" t="s">
        <v>74</v>
      </c>
      <c r="O958" s="1" t="s">
        <v>74</v>
      </c>
      <c r="P958" s="1" t="s">
        <v>74</v>
      </c>
      <c r="Q958" s="1" t="s">
        <v>74</v>
      </c>
      <c r="R958" s="1" t="s">
        <v>74</v>
      </c>
      <c r="S958" s="1" t="s">
        <v>74</v>
      </c>
      <c r="T958" s="1" t="s">
        <v>74</v>
      </c>
      <c r="U958" s="1" t="s">
        <v>74</v>
      </c>
      <c r="V958" s="1" t="s">
        <v>9470</v>
      </c>
      <c r="W958" s="1" t="s">
        <v>74</v>
      </c>
      <c r="X958" s="1" t="s">
        <v>74</v>
      </c>
      <c r="Y958" s="1" t="s">
        <v>74</v>
      </c>
      <c r="Z958" s="1" t="s">
        <v>74</v>
      </c>
      <c r="AA958" s="1" t="s">
        <v>9471</v>
      </c>
      <c r="AB958" s="1" t="s">
        <v>9472</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74</v>
      </c>
      <c r="AP958" s="1" t="s">
        <v>333</v>
      </c>
      <c r="AQ958" s="1" t="s">
        <v>74</v>
      </c>
      <c r="AR958" s="1" t="s">
        <v>74</v>
      </c>
      <c r="AS958" s="1" t="s">
        <v>74</v>
      </c>
      <c r="AT958" s="1" t="s">
        <v>2198</v>
      </c>
      <c r="AU958" s="1">
        <v>2024.0</v>
      </c>
      <c r="AV958" s="1">
        <v>15.0</v>
      </c>
      <c r="AW958" s="1">
        <v>1.0</v>
      </c>
      <c r="AX958" s="1" t="s">
        <v>74</v>
      </c>
      <c r="AY958" s="1" t="s">
        <v>74</v>
      </c>
      <c r="AZ958" s="1" t="s">
        <v>74</v>
      </c>
      <c r="BA958" s="1" t="s">
        <v>74</v>
      </c>
      <c r="BB958" s="1" t="s">
        <v>74</v>
      </c>
      <c r="BC958" s="1" t="s">
        <v>74</v>
      </c>
      <c r="BD958" s="1">
        <v>5608.0</v>
      </c>
      <c r="BE958" s="1" t="s">
        <v>9473</v>
      </c>
      <c r="BF958" s="2" t="str">
        <f>HYPERLINK("http://dx.doi.org/10.1038/s41467-024-49850-5","http://dx.doi.org/10.1038/s41467-024-49850-5")</f>
        <v>http://dx.doi.org/10.1038/s41467-024-49850-5</v>
      </c>
      <c r="BG958" s="1" t="s">
        <v>74</v>
      </c>
      <c r="BH958" s="1" t="s">
        <v>74</v>
      </c>
      <c r="BI958" s="1" t="s">
        <v>74</v>
      </c>
      <c r="BJ958" s="1" t="s">
        <v>74</v>
      </c>
      <c r="BK958" s="1" t="s">
        <v>74</v>
      </c>
      <c r="BL958" s="1" t="s">
        <v>74</v>
      </c>
      <c r="BM958" s="1" t="s">
        <v>74</v>
      </c>
      <c r="BN958" s="1">
        <v>3.8969637E7</v>
      </c>
      <c r="BO958" s="1" t="s">
        <v>74</v>
      </c>
      <c r="BP958" s="1" t="s">
        <v>74</v>
      </c>
      <c r="BQ958" s="1" t="s">
        <v>74</v>
      </c>
      <c r="BR958" s="1" t="s">
        <v>74</v>
      </c>
      <c r="BS958" s="1" t="s">
        <v>9474</v>
      </c>
      <c r="BT958" s="1" t="str">
        <f>HYPERLINK("https%3A%2F%2Fwww.webofscience.com%2Fwos%2Fwoscc%2Ffull-record%2FWOS:001263353700020","View Full Record in Web of Science")</f>
        <v>View Full Record in Web of Science</v>
      </c>
    </row>
    <row r="959" ht="12.75" customHeight="1">
      <c r="A959" s="1" t="s">
        <v>72</v>
      </c>
      <c r="B959" s="1" t="s">
        <v>9475</v>
      </c>
      <c r="C959" s="1" t="s">
        <v>74</v>
      </c>
      <c r="D959" s="1" t="s">
        <v>74</v>
      </c>
      <c r="E959" s="1" t="s">
        <v>74</v>
      </c>
      <c r="F959" s="1" t="s">
        <v>9476</v>
      </c>
      <c r="G959" s="1" t="s">
        <v>74</v>
      </c>
      <c r="H959" s="1" t="s">
        <v>74</v>
      </c>
      <c r="I959" s="1" t="s">
        <v>9477</v>
      </c>
      <c r="J959" s="1" t="s">
        <v>246</v>
      </c>
      <c r="K959" s="1" t="s">
        <v>74</v>
      </c>
      <c r="L959" s="1" t="s">
        <v>74</v>
      </c>
      <c r="M959" s="1" t="s">
        <v>74</v>
      </c>
      <c r="N959" s="1" t="s">
        <v>74</v>
      </c>
      <c r="O959" s="1" t="s">
        <v>74</v>
      </c>
      <c r="P959" s="1" t="s">
        <v>74</v>
      </c>
      <c r="Q959" s="1" t="s">
        <v>74</v>
      </c>
      <c r="R959" s="1" t="s">
        <v>74</v>
      </c>
      <c r="S959" s="1" t="s">
        <v>74</v>
      </c>
      <c r="T959" s="1" t="s">
        <v>74</v>
      </c>
      <c r="U959" s="1" t="s">
        <v>74</v>
      </c>
      <c r="V959" s="1" t="s">
        <v>9478</v>
      </c>
      <c r="W959" s="1" t="s">
        <v>74</v>
      </c>
      <c r="X959" s="1" t="s">
        <v>74</v>
      </c>
      <c r="Y959" s="1" t="s">
        <v>74</v>
      </c>
      <c r="Z959" s="1" t="s">
        <v>74</v>
      </c>
      <c r="AA959" s="1" t="s">
        <v>9479</v>
      </c>
      <c r="AB959" s="1" t="s">
        <v>9480</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250</v>
      </c>
      <c r="AP959" s="1" t="s">
        <v>251</v>
      </c>
      <c r="AQ959" s="1" t="s">
        <v>74</v>
      </c>
      <c r="AR959" s="1" t="s">
        <v>74</v>
      </c>
      <c r="AS959" s="1" t="s">
        <v>74</v>
      </c>
      <c r="AT959" s="1" t="s">
        <v>252</v>
      </c>
      <c r="AU959" s="1">
        <v>2021.0</v>
      </c>
      <c r="AV959" s="1">
        <v>31.0</v>
      </c>
      <c r="AW959" s="1">
        <v>4.0</v>
      </c>
      <c r="AX959" s="1" t="s">
        <v>74</v>
      </c>
      <c r="AY959" s="1" t="s">
        <v>74</v>
      </c>
      <c r="AZ959" s="1" t="s">
        <v>74</v>
      </c>
      <c r="BA959" s="1" t="s">
        <v>74</v>
      </c>
      <c r="BB959" s="1">
        <v>1035.0</v>
      </c>
      <c r="BC959" s="1">
        <v>1043.0</v>
      </c>
      <c r="BD959" s="1" t="s">
        <v>74</v>
      </c>
      <c r="BE959" s="1" t="s">
        <v>9481</v>
      </c>
      <c r="BF959" s="2" t="str">
        <f>HYPERLINK("http://dx.doi.org/10.1016/j.numecd.2020.11.003","http://dx.doi.org/10.1016/j.numecd.2020.11.003")</f>
        <v>http://dx.doi.org/10.1016/j.numecd.2020.11.003</v>
      </c>
      <c r="BG959" s="1" t="s">
        <v>74</v>
      </c>
      <c r="BH959" s="1" t="s">
        <v>254</v>
      </c>
      <c r="BI959" s="1" t="s">
        <v>74</v>
      </c>
      <c r="BJ959" s="1" t="s">
        <v>74</v>
      </c>
      <c r="BK959" s="1" t="s">
        <v>74</v>
      </c>
      <c r="BL959" s="1" t="s">
        <v>74</v>
      </c>
      <c r="BM959" s="1" t="s">
        <v>74</v>
      </c>
      <c r="BN959" s="1">
        <v>3.3573921E7</v>
      </c>
      <c r="BO959" s="1" t="s">
        <v>74</v>
      </c>
      <c r="BP959" s="1" t="s">
        <v>74</v>
      </c>
      <c r="BQ959" s="1" t="s">
        <v>74</v>
      </c>
      <c r="BR959" s="1" t="s">
        <v>74</v>
      </c>
      <c r="BS959" s="1" t="s">
        <v>9482</v>
      </c>
      <c r="BT959" s="1" t="str">
        <f>HYPERLINK("https%3A%2F%2Fwww.webofscience.com%2Fwos%2Fwoscc%2Ffull-record%2FWOS:000632557600005","View Full Record in Web of Science")</f>
        <v>View Full Record in Web of Science</v>
      </c>
    </row>
    <row r="960" ht="12.75" customHeight="1">
      <c r="A960" s="1" t="s">
        <v>72</v>
      </c>
      <c r="B960" s="1" t="s">
        <v>9483</v>
      </c>
      <c r="C960" s="1" t="s">
        <v>74</v>
      </c>
      <c r="D960" s="1" t="s">
        <v>74</v>
      </c>
      <c r="E960" s="1" t="s">
        <v>74</v>
      </c>
      <c r="F960" s="1" t="s">
        <v>9484</v>
      </c>
      <c r="G960" s="1" t="s">
        <v>74</v>
      </c>
      <c r="H960" s="1" t="s">
        <v>74</v>
      </c>
      <c r="I960" s="1" t="s">
        <v>9485</v>
      </c>
      <c r="J960" s="1" t="s">
        <v>9486</v>
      </c>
      <c r="K960" s="1" t="s">
        <v>74</v>
      </c>
      <c r="L960" s="1" t="s">
        <v>74</v>
      </c>
      <c r="M960" s="1" t="s">
        <v>74</v>
      </c>
      <c r="N960" s="1" t="s">
        <v>74</v>
      </c>
      <c r="O960" s="1" t="s">
        <v>74</v>
      </c>
      <c r="P960" s="1" t="s">
        <v>74</v>
      </c>
      <c r="Q960" s="1" t="s">
        <v>74</v>
      </c>
      <c r="R960" s="1" t="s">
        <v>74</v>
      </c>
      <c r="S960" s="1" t="s">
        <v>74</v>
      </c>
      <c r="T960" s="1" t="s">
        <v>74</v>
      </c>
      <c r="U960" s="1" t="s">
        <v>74</v>
      </c>
      <c r="V960" s="1" t="s">
        <v>9487</v>
      </c>
      <c r="W960" s="1" t="s">
        <v>74</v>
      </c>
      <c r="X960" s="1" t="s">
        <v>74</v>
      </c>
      <c r="Y960" s="1" t="s">
        <v>74</v>
      </c>
      <c r="Z960" s="1" t="s">
        <v>74</v>
      </c>
      <c r="AA960" s="1" t="s">
        <v>9488</v>
      </c>
      <c r="AB960" s="1" t="s">
        <v>9489</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9490</v>
      </c>
      <c r="AP960" s="1" t="s">
        <v>9491</v>
      </c>
      <c r="AQ960" s="1" t="s">
        <v>74</v>
      </c>
      <c r="AR960" s="1" t="s">
        <v>74</v>
      </c>
      <c r="AS960" s="1" t="s">
        <v>74</v>
      </c>
      <c r="AT960" s="1" t="s">
        <v>447</v>
      </c>
      <c r="AU960" s="1">
        <v>2020.0</v>
      </c>
      <c r="AV960" s="1">
        <v>15.0</v>
      </c>
      <c r="AW960" s="1">
        <v>4.0</v>
      </c>
      <c r="AX960" s="1" t="s">
        <v>74</v>
      </c>
      <c r="AY960" s="1" t="s">
        <v>74</v>
      </c>
      <c r="AZ960" s="1" t="s">
        <v>74</v>
      </c>
      <c r="BA960" s="1" t="s">
        <v>74</v>
      </c>
      <c r="BB960" s="1">
        <v>584.0</v>
      </c>
      <c r="BC960" s="1">
        <v>594.0</v>
      </c>
      <c r="BD960" s="1">
        <v>1.747954120928932E15</v>
      </c>
      <c r="BE960" s="1" t="s">
        <v>9492</v>
      </c>
      <c r="BF960" s="2" t="str">
        <f>HYPERLINK("http://dx.doi.org/10.1177/1747954120928932","http://dx.doi.org/10.1177/1747954120928932")</f>
        <v>http://dx.doi.org/10.1177/1747954120928932</v>
      </c>
      <c r="BG960" s="1" t="s">
        <v>74</v>
      </c>
      <c r="BH960" s="1" t="s">
        <v>5425</v>
      </c>
      <c r="BI960" s="1" t="s">
        <v>74</v>
      </c>
      <c r="BJ960" s="1" t="s">
        <v>74</v>
      </c>
      <c r="BK960" s="1" t="s">
        <v>74</v>
      </c>
      <c r="BL960" s="1" t="s">
        <v>74</v>
      </c>
      <c r="BM960" s="1" t="s">
        <v>74</v>
      </c>
      <c r="BN960" s="1" t="s">
        <v>74</v>
      </c>
      <c r="BO960" s="1" t="s">
        <v>74</v>
      </c>
      <c r="BP960" s="1" t="s">
        <v>74</v>
      </c>
      <c r="BQ960" s="1" t="s">
        <v>74</v>
      </c>
      <c r="BR960" s="1" t="s">
        <v>74</v>
      </c>
      <c r="BS960" s="1" t="s">
        <v>9493</v>
      </c>
      <c r="BT960" s="1" t="str">
        <f>HYPERLINK("https%3A%2F%2Fwww.webofscience.com%2Fwos%2Fwoscc%2Ffull-record%2FWOS:000538088100001","View Full Record in Web of Science")</f>
        <v>View Full Record in Web of Science</v>
      </c>
    </row>
    <row r="961" ht="12.75" customHeight="1">
      <c r="A961" s="1" t="s">
        <v>72</v>
      </c>
      <c r="B961" s="1" t="s">
        <v>9494</v>
      </c>
      <c r="C961" s="1" t="s">
        <v>74</v>
      </c>
      <c r="D961" s="1" t="s">
        <v>74</v>
      </c>
      <c r="E961" s="1" t="s">
        <v>74</v>
      </c>
      <c r="F961" s="1" t="s">
        <v>9495</v>
      </c>
      <c r="G961" s="1" t="s">
        <v>74</v>
      </c>
      <c r="H961" s="1" t="s">
        <v>74</v>
      </c>
      <c r="I961" s="1" t="s">
        <v>9496</v>
      </c>
      <c r="J961" s="1" t="s">
        <v>9497</v>
      </c>
      <c r="K961" s="1" t="s">
        <v>74</v>
      </c>
      <c r="L961" s="1" t="s">
        <v>74</v>
      </c>
      <c r="M961" s="1" t="s">
        <v>74</v>
      </c>
      <c r="N961" s="1" t="s">
        <v>74</v>
      </c>
      <c r="O961" s="1" t="s">
        <v>74</v>
      </c>
      <c r="P961" s="1" t="s">
        <v>74</v>
      </c>
      <c r="Q961" s="1" t="s">
        <v>74</v>
      </c>
      <c r="R961" s="1" t="s">
        <v>74</v>
      </c>
      <c r="S961" s="1" t="s">
        <v>74</v>
      </c>
      <c r="T961" s="1" t="s">
        <v>74</v>
      </c>
      <c r="U961" s="1" t="s">
        <v>74</v>
      </c>
      <c r="V961" s="1" t="s">
        <v>9498</v>
      </c>
      <c r="W961" s="1" t="s">
        <v>74</v>
      </c>
      <c r="X961" s="1" t="s">
        <v>74</v>
      </c>
      <c r="Y961" s="1" t="s">
        <v>74</v>
      </c>
      <c r="Z961" s="1" t="s">
        <v>74</v>
      </c>
      <c r="AA961" s="1" t="s">
        <v>9499</v>
      </c>
      <c r="AB961" s="1" t="s">
        <v>9500</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9501</v>
      </c>
      <c r="AP961" s="1" t="s">
        <v>9502</v>
      </c>
      <c r="AQ961" s="1" t="s">
        <v>74</v>
      </c>
      <c r="AR961" s="1" t="s">
        <v>74</v>
      </c>
      <c r="AS961" s="1" t="s">
        <v>74</v>
      </c>
      <c r="AT961" s="1" t="s">
        <v>106</v>
      </c>
      <c r="AU961" s="1">
        <v>2013.0</v>
      </c>
      <c r="AV961" s="1">
        <v>64.0</v>
      </c>
      <c r="AW961" s="1">
        <v>15.0</v>
      </c>
      <c r="AX961" s="1" t="s">
        <v>74</v>
      </c>
      <c r="AY961" s="1" t="s">
        <v>74</v>
      </c>
      <c r="AZ961" s="1" t="s">
        <v>74</v>
      </c>
      <c r="BA961" s="1" t="s">
        <v>74</v>
      </c>
      <c r="BB961" s="1">
        <v>4729.0</v>
      </c>
      <c r="BC961" s="1">
        <v>4744.0</v>
      </c>
      <c r="BD961" s="1" t="s">
        <v>74</v>
      </c>
      <c r="BE961" s="1" t="s">
        <v>9503</v>
      </c>
      <c r="BF961" s="2" t="str">
        <f>HYPERLINK("http://dx.doi.org/10.1093/jxb/ert199","http://dx.doi.org/10.1093/jxb/ert199")</f>
        <v>http://dx.doi.org/10.1093/jxb/ert199</v>
      </c>
      <c r="BG961" s="1" t="s">
        <v>74</v>
      </c>
      <c r="BH961" s="1" t="s">
        <v>74</v>
      </c>
      <c r="BI961" s="1" t="s">
        <v>74</v>
      </c>
      <c r="BJ961" s="1" t="s">
        <v>74</v>
      </c>
      <c r="BK961" s="1" t="s">
        <v>74</v>
      </c>
      <c r="BL961" s="1" t="s">
        <v>74</v>
      </c>
      <c r="BM961" s="1" t="s">
        <v>74</v>
      </c>
      <c r="BN961" s="1">
        <v>2.3926314E7</v>
      </c>
      <c r="BO961" s="1" t="s">
        <v>74</v>
      </c>
      <c r="BP961" s="1" t="s">
        <v>74</v>
      </c>
      <c r="BQ961" s="1" t="s">
        <v>74</v>
      </c>
      <c r="BR961" s="1" t="s">
        <v>74</v>
      </c>
      <c r="BS961" s="1" t="s">
        <v>9504</v>
      </c>
      <c r="BT961" s="1" t="str">
        <f>HYPERLINK("https%3A%2F%2Fwww.webofscience.com%2Fwos%2Fwoscc%2Ffull-record%2FWOS:000326967600008","View Full Record in Web of Science")</f>
        <v>View Full Record in Web of Science</v>
      </c>
    </row>
    <row r="962" ht="12.75" customHeight="1">
      <c r="A962" s="1" t="s">
        <v>72</v>
      </c>
      <c r="B962" s="1" t="s">
        <v>9505</v>
      </c>
      <c r="C962" s="1" t="s">
        <v>74</v>
      </c>
      <c r="D962" s="1" t="s">
        <v>74</v>
      </c>
      <c r="E962" s="1" t="s">
        <v>74</v>
      </c>
      <c r="F962" s="1" t="s">
        <v>9506</v>
      </c>
      <c r="G962" s="1" t="s">
        <v>74</v>
      </c>
      <c r="H962" s="1" t="s">
        <v>74</v>
      </c>
      <c r="I962" s="1" t="s">
        <v>9507</v>
      </c>
      <c r="J962" s="1" t="s">
        <v>1024</v>
      </c>
      <c r="K962" s="1" t="s">
        <v>74</v>
      </c>
      <c r="L962" s="1" t="s">
        <v>74</v>
      </c>
      <c r="M962" s="1" t="s">
        <v>74</v>
      </c>
      <c r="N962" s="1" t="s">
        <v>74</v>
      </c>
      <c r="O962" s="1" t="s">
        <v>74</v>
      </c>
      <c r="P962" s="1" t="s">
        <v>74</v>
      </c>
      <c r="Q962" s="1" t="s">
        <v>74</v>
      </c>
      <c r="R962" s="1" t="s">
        <v>74</v>
      </c>
      <c r="S962" s="1" t="s">
        <v>74</v>
      </c>
      <c r="T962" s="1" t="s">
        <v>74</v>
      </c>
      <c r="U962" s="1" t="s">
        <v>74</v>
      </c>
      <c r="V962" s="1" t="s">
        <v>9508</v>
      </c>
      <c r="W962" s="1" t="s">
        <v>74</v>
      </c>
      <c r="X962" s="1" t="s">
        <v>74</v>
      </c>
      <c r="Y962" s="1" t="s">
        <v>74</v>
      </c>
      <c r="Z962" s="1" t="s">
        <v>74</v>
      </c>
      <c r="AA962" s="1" t="s">
        <v>9509</v>
      </c>
      <c r="AB962" s="1" t="s">
        <v>9510</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1028</v>
      </c>
      <c r="AP962" s="1" t="s">
        <v>1029</v>
      </c>
      <c r="AQ962" s="1" t="s">
        <v>74</v>
      </c>
      <c r="AR962" s="1" t="s">
        <v>74</v>
      </c>
      <c r="AS962" s="1" t="s">
        <v>74</v>
      </c>
      <c r="AT962" s="1" t="s">
        <v>214</v>
      </c>
      <c r="AU962" s="1">
        <v>2022.0</v>
      </c>
      <c r="AV962" s="1">
        <v>510.0</v>
      </c>
      <c r="AW962" s="1">
        <v>1.0</v>
      </c>
      <c r="AX962" s="1" t="s">
        <v>74</v>
      </c>
      <c r="AY962" s="1" t="s">
        <v>74</v>
      </c>
      <c r="AZ962" s="1" t="s">
        <v>74</v>
      </c>
      <c r="BA962" s="1" t="s">
        <v>74</v>
      </c>
      <c r="BB962" s="1">
        <v>1248.0</v>
      </c>
      <c r="BC962" s="1">
        <v>1257.0</v>
      </c>
      <c r="BD962" s="1" t="s">
        <v>74</v>
      </c>
      <c r="BE962" s="1" t="s">
        <v>9511</v>
      </c>
      <c r="BF962" s="2" t="str">
        <f>HYPERLINK("http://dx.doi.org/10.1093/mnras/stab3440","http://dx.doi.org/10.1093/mnras/stab3440")</f>
        <v>http://dx.doi.org/10.1093/mnras/stab3440</v>
      </c>
      <c r="BG962" s="1" t="s">
        <v>74</v>
      </c>
      <c r="BH962" s="1" t="s">
        <v>74</v>
      </c>
      <c r="BI962" s="1" t="s">
        <v>74</v>
      </c>
      <c r="BJ962" s="1" t="s">
        <v>74</v>
      </c>
      <c r="BK962" s="1" t="s">
        <v>74</v>
      </c>
      <c r="BL962" s="1" t="s">
        <v>74</v>
      </c>
      <c r="BM962" s="1" t="s">
        <v>74</v>
      </c>
      <c r="BN962" s="1" t="s">
        <v>74</v>
      </c>
      <c r="BO962" s="1" t="s">
        <v>74</v>
      </c>
      <c r="BP962" s="1" t="s">
        <v>74</v>
      </c>
      <c r="BQ962" s="1" t="s">
        <v>74</v>
      </c>
      <c r="BR962" s="1" t="s">
        <v>74</v>
      </c>
      <c r="BS962" s="1" t="s">
        <v>9512</v>
      </c>
      <c r="BT962" s="1" t="str">
        <f>HYPERLINK("https%3A%2F%2Fwww.webofscience.com%2Fwos%2Fwoscc%2Ffull-record%2FWOS:000764275700006","View Full Record in Web of Science")</f>
        <v>View Full Record in Web of Science</v>
      </c>
    </row>
    <row r="963" ht="12.75" customHeight="1">
      <c r="A963" s="1" t="s">
        <v>72</v>
      </c>
      <c r="B963" s="1" t="s">
        <v>9513</v>
      </c>
      <c r="C963" s="1" t="s">
        <v>74</v>
      </c>
      <c r="D963" s="1" t="s">
        <v>74</v>
      </c>
      <c r="E963" s="1" t="s">
        <v>74</v>
      </c>
      <c r="F963" s="1" t="s">
        <v>9514</v>
      </c>
      <c r="G963" s="1" t="s">
        <v>74</v>
      </c>
      <c r="H963" s="1" t="s">
        <v>74</v>
      </c>
      <c r="I963" s="1" t="s">
        <v>9515</v>
      </c>
      <c r="J963" s="1" t="s">
        <v>363</v>
      </c>
      <c r="K963" s="1" t="s">
        <v>74</v>
      </c>
      <c r="L963" s="1" t="s">
        <v>74</v>
      </c>
      <c r="M963" s="1" t="s">
        <v>74</v>
      </c>
      <c r="N963" s="1" t="s">
        <v>74</v>
      </c>
      <c r="O963" s="1" t="s">
        <v>74</v>
      </c>
      <c r="P963" s="1" t="s">
        <v>74</v>
      </c>
      <c r="Q963" s="1" t="s">
        <v>74</v>
      </c>
      <c r="R963" s="1" t="s">
        <v>74</v>
      </c>
      <c r="S963" s="1" t="s">
        <v>74</v>
      </c>
      <c r="T963" s="1" t="s">
        <v>74</v>
      </c>
      <c r="U963" s="1" t="s">
        <v>74</v>
      </c>
      <c r="V963" s="1" t="s">
        <v>9516</v>
      </c>
      <c r="W963" s="1" t="s">
        <v>74</v>
      </c>
      <c r="X963" s="1" t="s">
        <v>74</v>
      </c>
      <c r="Y963" s="1" t="s">
        <v>74</v>
      </c>
      <c r="Z963" s="1" t="s">
        <v>74</v>
      </c>
      <c r="AA963" s="1" t="s">
        <v>9517</v>
      </c>
      <c r="AB963" s="1" t="s">
        <v>9518</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367</v>
      </c>
      <c r="AP963" s="1" t="s">
        <v>368</v>
      </c>
      <c r="AQ963" s="1" t="s">
        <v>74</v>
      </c>
      <c r="AR963" s="1" t="s">
        <v>74</v>
      </c>
      <c r="AS963" s="1" t="s">
        <v>74</v>
      </c>
      <c r="AT963" s="1" t="s">
        <v>4835</v>
      </c>
      <c r="AU963" s="1">
        <v>2013.0</v>
      </c>
      <c r="AV963" s="1">
        <v>5.0</v>
      </c>
      <c r="AW963" s="1">
        <v>10.0</v>
      </c>
      <c r="AX963" s="1" t="s">
        <v>74</v>
      </c>
      <c r="AY963" s="1" t="s">
        <v>74</v>
      </c>
      <c r="AZ963" s="1" t="s">
        <v>74</v>
      </c>
      <c r="BA963" s="1" t="s">
        <v>74</v>
      </c>
      <c r="BB963" s="1">
        <v>4076.0</v>
      </c>
      <c r="BC963" s="1">
        <v>4085.0</v>
      </c>
      <c r="BD963" s="1" t="s">
        <v>74</v>
      </c>
      <c r="BE963" s="1" t="s">
        <v>9519</v>
      </c>
      <c r="BF963" s="2" t="str">
        <f>HYPERLINK("http://dx.doi.org/10.1021/am3028537","http://dx.doi.org/10.1021/am3028537")</f>
        <v>http://dx.doi.org/10.1021/am3028537</v>
      </c>
      <c r="BG963" s="1" t="s">
        <v>74</v>
      </c>
      <c r="BH963" s="1" t="s">
        <v>74</v>
      </c>
      <c r="BI963" s="1" t="s">
        <v>74</v>
      </c>
      <c r="BJ963" s="1" t="s">
        <v>74</v>
      </c>
      <c r="BK963" s="1" t="s">
        <v>74</v>
      </c>
      <c r="BL963" s="1" t="s">
        <v>74</v>
      </c>
      <c r="BM963" s="1" t="s">
        <v>74</v>
      </c>
      <c r="BN963" s="1">
        <v>2.3597259E7</v>
      </c>
      <c r="BO963" s="1" t="s">
        <v>74</v>
      </c>
      <c r="BP963" s="1" t="s">
        <v>74</v>
      </c>
      <c r="BQ963" s="1" t="s">
        <v>74</v>
      </c>
      <c r="BR963" s="1" t="s">
        <v>74</v>
      </c>
      <c r="BS963" s="1" t="s">
        <v>9520</v>
      </c>
      <c r="BT963" s="1" t="str">
        <f>HYPERLINK("https%3A%2F%2Fwww.webofscience.com%2Fwos%2Fwoscc%2Ffull-record%2FWOS:000319551200014","View Full Record in Web of Science")</f>
        <v>View Full Record in Web of Science</v>
      </c>
    </row>
    <row r="964" ht="12.75" customHeight="1">
      <c r="A964" s="1" t="s">
        <v>72</v>
      </c>
      <c r="B964" s="1" t="s">
        <v>9521</v>
      </c>
      <c r="C964" s="1" t="s">
        <v>74</v>
      </c>
      <c r="D964" s="1" t="s">
        <v>74</v>
      </c>
      <c r="E964" s="1" t="s">
        <v>74</v>
      </c>
      <c r="F964" s="1" t="s">
        <v>9522</v>
      </c>
      <c r="G964" s="1" t="s">
        <v>74</v>
      </c>
      <c r="H964" s="1" t="s">
        <v>74</v>
      </c>
      <c r="I964" s="1" t="s">
        <v>9523</v>
      </c>
      <c r="J964" s="1" t="s">
        <v>9524</v>
      </c>
      <c r="K964" s="1" t="s">
        <v>74</v>
      </c>
      <c r="L964" s="1" t="s">
        <v>74</v>
      </c>
      <c r="M964" s="1" t="s">
        <v>74</v>
      </c>
      <c r="N964" s="1" t="s">
        <v>74</v>
      </c>
      <c r="O964" s="1" t="s">
        <v>74</v>
      </c>
      <c r="P964" s="1" t="s">
        <v>74</v>
      </c>
      <c r="Q964" s="1" t="s">
        <v>74</v>
      </c>
      <c r="R964" s="1" t="s">
        <v>74</v>
      </c>
      <c r="S964" s="1" t="s">
        <v>74</v>
      </c>
      <c r="T964" s="1" t="s">
        <v>74</v>
      </c>
      <c r="U964" s="1" t="s">
        <v>74</v>
      </c>
      <c r="V964" s="1" t="s">
        <v>9525</v>
      </c>
      <c r="W964" s="1" t="s">
        <v>74</v>
      </c>
      <c r="X964" s="1" t="s">
        <v>74</v>
      </c>
      <c r="Y964" s="1" t="s">
        <v>74</v>
      </c>
      <c r="Z964" s="1" t="s">
        <v>74</v>
      </c>
      <c r="AA964" s="1" t="s">
        <v>9526</v>
      </c>
      <c r="AB964" s="1" t="s">
        <v>9527</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9528</v>
      </c>
      <c r="AP964" s="1" t="s">
        <v>9529</v>
      </c>
      <c r="AQ964" s="1" t="s">
        <v>74</v>
      </c>
      <c r="AR964" s="1" t="s">
        <v>74</v>
      </c>
      <c r="AS964" s="1" t="s">
        <v>74</v>
      </c>
      <c r="AT964" s="1" t="s">
        <v>745</v>
      </c>
      <c r="AU964" s="1">
        <v>2011.0</v>
      </c>
      <c r="AV964" s="1">
        <v>30.0</v>
      </c>
      <c r="AW964" s="1">
        <v>7.0</v>
      </c>
      <c r="AX964" s="1" t="s">
        <v>74</v>
      </c>
      <c r="AY964" s="1" t="s">
        <v>74</v>
      </c>
      <c r="AZ964" s="1" t="s">
        <v>74</v>
      </c>
      <c r="BA964" s="1" t="s">
        <v>74</v>
      </c>
      <c r="BB964" s="1">
        <v>1003.0</v>
      </c>
      <c r="BC964" s="1">
        <v>1008.0</v>
      </c>
      <c r="BD964" s="1" t="s">
        <v>74</v>
      </c>
      <c r="BE964" s="1" t="s">
        <v>9530</v>
      </c>
      <c r="BF964" s="2" t="str">
        <f>HYPERLINK("http://dx.doi.org/10.7863/jum.2011.30.7.1003","http://dx.doi.org/10.7863/jum.2011.30.7.1003")</f>
        <v>http://dx.doi.org/10.7863/jum.2011.30.7.1003</v>
      </c>
      <c r="BG964" s="1" t="s">
        <v>74</v>
      </c>
      <c r="BH964" s="1" t="s">
        <v>74</v>
      </c>
      <c r="BI964" s="1" t="s">
        <v>74</v>
      </c>
      <c r="BJ964" s="1" t="s">
        <v>74</v>
      </c>
      <c r="BK964" s="1" t="s">
        <v>74</v>
      </c>
      <c r="BL964" s="1" t="s">
        <v>74</v>
      </c>
      <c r="BM964" s="1" t="s">
        <v>74</v>
      </c>
      <c r="BN964" s="1">
        <v>2.1705734E7</v>
      </c>
      <c r="BO964" s="1" t="s">
        <v>74</v>
      </c>
      <c r="BP964" s="1" t="s">
        <v>74</v>
      </c>
      <c r="BQ964" s="1" t="s">
        <v>74</v>
      </c>
      <c r="BR964" s="1" t="s">
        <v>74</v>
      </c>
      <c r="BS964" s="1" t="s">
        <v>9531</v>
      </c>
      <c r="BT964" s="1" t="str">
        <f>HYPERLINK("https%3A%2F%2Fwww.webofscience.com%2Fwos%2Fwoscc%2Ffull-record%2FWOS:000292435300017","View Full Record in Web of Science")</f>
        <v>View Full Record in Web of Science</v>
      </c>
    </row>
    <row r="965" ht="12.75" customHeight="1">
      <c r="A965" s="1" t="s">
        <v>72</v>
      </c>
      <c r="B965" s="1" t="s">
        <v>9532</v>
      </c>
      <c r="C965" s="1" t="s">
        <v>74</v>
      </c>
      <c r="D965" s="1" t="s">
        <v>74</v>
      </c>
      <c r="E965" s="1" t="s">
        <v>74</v>
      </c>
      <c r="F965" s="1" t="s">
        <v>9533</v>
      </c>
      <c r="G965" s="1" t="s">
        <v>74</v>
      </c>
      <c r="H965" s="1" t="s">
        <v>74</v>
      </c>
      <c r="I965" s="1" t="s">
        <v>9534</v>
      </c>
      <c r="J965" s="1" t="s">
        <v>1441</v>
      </c>
      <c r="K965" s="1" t="s">
        <v>74</v>
      </c>
      <c r="L965" s="1" t="s">
        <v>74</v>
      </c>
      <c r="M965" s="1" t="s">
        <v>74</v>
      </c>
      <c r="N965" s="1" t="s">
        <v>74</v>
      </c>
      <c r="O965" s="1" t="s">
        <v>74</v>
      </c>
      <c r="P965" s="1" t="s">
        <v>74</v>
      </c>
      <c r="Q965" s="1" t="s">
        <v>74</v>
      </c>
      <c r="R965" s="1" t="s">
        <v>74</v>
      </c>
      <c r="S965" s="1" t="s">
        <v>74</v>
      </c>
      <c r="T965" s="1" t="s">
        <v>74</v>
      </c>
      <c r="U965" s="1" t="s">
        <v>74</v>
      </c>
      <c r="V965" s="1" t="s">
        <v>9535</v>
      </c>
      <c r="W965" s="1" t="s">
        <v>74</v>
      </c>
      <c r="X965" s="1" t="s">
        <v>74</v>
      </c>
      <c r="Y965" s="1" t="s">
        <v>74</v>
      </c>
      <c r="Z965" s="1" t="s">
        <v>74</v>
      </c>
      <c r="AA965" s="1" t="s">
        <v>9536</v>
      </c>
      <c r="AB965" s="1" t="s">
        <v>9537</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1445</v>
      </c>
      <c r="AP965" s="1" t="s">
        <v>1446</v>
      </c>
      <c r="AQ965" s="1" t="s">
        <v>74</v>
      </c>
      <c r="AR965" s="1" t="s">
        <v>74</v>
      </c>
      <c r="AS965" s="1" t="s">
        <v>74</v>
      </c>
      <c r="AT965" s="1" t="s">
        <v>9538</v>
      </c>
      <c r="AU965" s="1">
        <v>2020.0</v>
      </c>
      <c r="AV965" s="1">
        <v>889.0</v>
      </c>
      <c r="AW965" s="1">
        <v>1.0</v>
      </c>
      <c r="AX965" s="1" t="s">
        <v>74</v>
      </c>
      <c r="AY965" s="1" t="s">
        <v>74</v>
      </c>
      <c r="AZ965" s="1" t="s">
        <v>74</v>
      </c>
      <c r="BA965" s="1" t="s">
        <v>74</v>
      </c>
      <c r="BB965" s="1" t="s">
        <v>74</v>
      </c>
      <c r="BC965" s="1" t="s">
        <v>74</v>
      </c>
      <c r="BD965" s="1">
        <v>59.0</v>
      </c>
      <c r="BE965" s="1" t="s">
        <v>9539</v>
      </c>
      <c r="BF965" s="2" t="str">
        <f>HYPERLINK("http://dx.doi.org/10.3847/1538-4357/ab5c1b","http://dx.doi.org/10.3847/1538-4357/ab5c1b")</f>
        <v>http://dx.doi.org/10.3847/1538-4357/ab5c1b</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9540</v>
      </c>
      <c r="BT965" s="1" t="str">
        <f>HYPERLINK("https%3A%2F%2Fwww.webofscience.com%2Fwos%2Fwoscc%2Ffull-record%2FWOS:000520174700001","View Full Record in Web of Science")</f>
        <v>View Full Record in Web of Science</v>
      </c>
    </row>
    <row r="966" ht="12.75" customHeight="1">
      <c r="A966" s="1" t="s">
        <v>72</v>
      </c>
      <c r="B966" s="1" t="s">
        <v>9541</v>
      </c>
      <c r="C966" s="1" t="s">
        <v>74</v>
      </c>
      <c r="D966" s="1" t="s">
        <v>74</v>
      </c>
      <c r="E966" s="1" t="s">
        <v>74</v>
      </c>
      <c r="F966" s="1" t="s">
        <v>9542</v>
      </c>
      <c r="G966" s="1" t="s">
        <v>74</v>
      </c>
      <c r="H966" s="1" t="s">
        <v>74</v>
      </c>
      <c r="I966" s="1" t="s">
        <v>9543</v>
      </c>
      <c r="J966" s="1" t="s">
        <v>9544</v>
      </c>
      <c r="K966" s="1" t="s">
        <v>74</v>
      </c>
      <c r="L966" s="1" t="s">
        <v>74</v>
      </c>
      <c r="M966" s="1" t="s">
        <v>74</v>
      </c>
      <c r="N966" s="1" t="s">
        <v>74</v>
      </c>
      <c r="O966" s="1" t="s">
        <v>74</v>
      </c>
      <c r="P966" s="1" t="s">
        <v>74</v>
      </c>
      <c r="Q966" s="1" t="s">
        <v>74</v>
      </c>
      <c r="R966" s="1" t="s">
        <v>74</v>
      </c>
      <c r="S966" s="1" t="s">
        <v>74</v>
      </c>
      <c r="T966" s="1" t="s">
        <v>74</v>
      </c>
      <c r="U966" s="1" t="s">
        <v>74</v>
      </c>
      <c r="V966" s="1" t="s">
        <v>9545</v>
      </c>
      <c r="W966" s="1" t="s">
        <v>74</v>
      </c>
      <c r="X966" s="1" t="s">
        <v>74</v>
      </c>
      <c r="Y966" s="1" t="s">
        <v>74</v>
      </c>
      <c r="Z966" s="1" t="s">
        <v>74</v>
      </c>
      <c r="AA966" s="1" t="s">
        <v>9546</v>
      </c>
      <c r="AB966" s="1" t="s">
        <v>9547</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9548</v>
      </c>
      <c r="AP966" s="1" t="s">
        <v>74</v>
      </c>
      <c r="AQ966" s="1" t="s">
        <v>74</v>
      </c>
      <c r="AR966" s="1" t="s">
        <v>74</v>
      </c>
      <c r="AS966" s="1" t="s">
        <v>74</v>
      </c>
      <c r="AT966" s="1" t="s">
        <v>94</v>
      </c>
      <c r="AU966" s="1">
        <v>2019.0</v>
      </c>
      <c r="AV966" s="1">
        <v>3.0</v>
      </c>
      <c r="AW966" s="1">
        <v>12.0</v>
      </c>
      <c r="AX966" s="1" t="s">
        <v>74</v>
      </c>
      <c r="AY966" s="1" t="s">
        <v>74</v>
      </c>
      <c r="AZ966" s="1" t="s">
        <v>74</v>
      </c>
      <c r="BA966" s="1" t="s">
        <v>74</v>
      </c>
      <c r="BB966" s="1">
        <v>1109.0</v>
      </c>
      <c r="BC966" s="1">
        <v>1114.0</v>
      </c>
      <c r="BD966" s="1" t="s">
        <v>74</v>
      </c>
      <c r="BE966" s="1" t="s">
        <v>9549</v>
      </c>
      <c r="BF966" s="2" t="str">
        <f>HYPERLINK("http://dx.doi.org/10.1038/s41550-019-0852-6","http://dx.doi.org/10.1038/s41550-019-0852-6")</f>
        <v>http://dx.doi.org/10.1038/s41550-019-0852-6</v>
      </c>
      <c r="BG966" s="1" t="s">
        <v>74</v>
      </c>
      <c r="BH966" s="1" t="s">
        <v>74</v>
      </c>
      <c r="BI966" s="1" t="s">
        <v>74</v>
      </c>
      <c r="BJ966" s="1" t="s">
        <v>74</v>
      </c>
      <c r="BK966" s="1" t="s">
        <v>74</v>
      </c>
      <c r="BL966" s="1" t="s">
        <v>74</v>
      </c>
      <c r="BM966" s="1" t="s">
        <v>74</v>
      </c>
      <c r="BN966" s="1" t="s">
        <v>74</v>
      </c>
      <c r="BO966" s="1" t="s">
        <v>74</v>
      </c>
      <c r="BP966" s="1" t="s">
        <v>74</v>
      </c>
      <c r="BQ966" s="1" t="s">
        <v>74</v>
      </c>
      <c r="BR966" s="1" t="s">
        <v>74</v>
      </c>
      <c r="BS966" s="1" t="s">
        <v>9550</v>
      </c>
      <c r="BT966" s="1" t="str">
        <f>HYPERLINK("https%3A%2F%2Fwww.webofscience.com%2Fwos%2Fwoscc%2Ffull-record%2FWOS:000501586100021","View Full Record in Web of Science")</f>
        <v>View Full Record in Web of Science</v>
      </c>
    </row>
    <row r="967" ht="12.75" customHeight="1">
      <c r="A967" s="1" t="s">
        <v>72</v>
      </c>
      <c r="B967" s="1" t="s">
        <v>9551</v>
      </c>
      <c r="C967" s="1" t="s">
        <v>74</v>
      </c>
      <c r="D967" s="1" t="s">
        <v>74</v>
      </c>
      <c r="E967" s="1" t="s">
        <v>74</v>
      </c>
      <c r="F967" s="1" t="s">
        <v>9552</v>
      </c>
      <c r="G967" s="1" t="s">
        <v>74</v>
      </c>
      <c r="H967" s="1" t="s">
        <v>74</v>
      </c>
      <c r="I967" s="1" t="s">
        <v>9553</v>
      </c>
      <c r="J967" s="1" t="s">
        <v>9554</v>
      </c>
      <c r="K967" s="1" t="s">
        <v>74</v>
      </c>
      <c r="L967" s="1" t="s">
        <v>74</v>
      </c>
      <c r="M967" s="1" t="s">
        <v>74</v>
      </c>
      <c r="N967" s="1" t="s">
        <v>74</v>
      </c>
      <c r="O967" s="1" t="s">
        <v>74</v>
      </c>
      <c r="P967" s="1" t="s">
        <v>74</v>
      </c>
      <c r="Q967" s="1" t="s">
        <v>74</v>
      </c>
      <c r="R967" s="1" t="s">
        <v>74</v>
      </c>
      <c r="S967" s="1" t="s">
        <v>74</v>
      </c>
      <c r="T967" s="1" t="s">
        <v>74</v>
      </c>
      <c r="U967" s="1" t="s">
        <v>74</v>
      </c>
      <c r="V967" s="1" t="s">
        <v>9555</v>
      </c>
      <c r="W967" s="1" t="s">
        <v>74</v>
      </c>
      <c r="X967" s="1" t="s">
        <v>74</v>
      </c>
      <c r="Y967" s="1" t="s">
        <v>74</v>
      </c>
      <c r="Z967" s="1" t="s">
        <v>74</v>
      </c>
      <c r="AA967" s="1" t="s">
        <v>9556</v>
      </c>
      <c r="AB967" s="1" t="s">
        <v>9557</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9558</v>
      </c>
      <c r="AP967" s="1" t="s">
        <v>74</v>
      </c>
      <c r="AQ967" s="1" t="s">
        <v>74</v>
      </c>
      <c r="AR967" s="1" t="s">
        <v>74</v>
      </c>
      <c r="AS967" s="1" t="s">
        <v>74</v>
      </c>
      <c r="AT967" s="1" t="s">
        <v>106</v>
      </c>
      <c r="AU967" s="1">
        <v>2019.0</v>
      </c>
      <c r="AV967" s="1" t="s">
        <v>74</v>
      </c>
      <c r="AW967" s="1">
        <v>11.0</v>
      </c>
      <c r="AX967" s="1" t="s">
        <v>74</v>
      </c>
      <c r="AY967" s="1" t="s">
        <v>74</v>
      </c>
      <c r="AZ967" s="1" t="s">
        <v>74</v>
      </c>
      <c r="BA967" s="1" t="s">
        <v>74</v>
      </c>
      <c r="BB967" s="1" t="s">
        <v>74</v>
      </c>
      <c r="BC967" s="1" t="s">
        <v>74</v>
      </c>
      <c r="BD967" s="1">
        <v>26.0</v>
      </c>
      <c r="BE967" s="1" t="s">
        <v>9559</v>
      </c>
      <c r="BF967" s="2" t="str">
        <f>HYPERLINK("http://dx.doi.org/10.1088/1475-7516/2019/11/026","http://dx.doi.org/10.1088/1475-7516/2019/11/026")</f>
        <v>http://dx.doi.org/10.1088/1475-7516/2019/11/026</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9560</v>
      </c>
      <c r="BT967" s="1" t="str">
        <f>HYPERLINK("https%3A%2F%2Fwww.webofscience.com%2Fwos%2Fwoscc%2Ffull-record%2FWOS:000507259700023","View Full Record in Web of Science")</f>
        <v>View Full Record in Web of Science</v>
      </c>
    </row>
    <row r="968" ht="12.75" customHeight="1">
      <c r="A968" s="1" t="s">
        <v>72</v>
      </c>
      <c r="B968" s="1" t="s">
        <v>9561</v>
      </c>
      <c r="C968" s="1" t="s">
        <v>74</v>
      </c>
      <c r="D968" s="1" t="s">
        <v>74</v>
      </c>
      <c r="E968" s="1" t="s">
        <v>74</v>
      </c>
      <c r="F968" s="1" t="s">
        <v>9562</v>
      </c>
      <c r="G968" s="1" t="s">
        <v>74</v>
      </c>
      <c r="H968" s="1" t="s">
        <v>74</v>
      </c>
      <c r="I968" s="1" t="s">
        <v>9563</v>
      </c>
      <c r="J968" s="1" t="s">
        <v>9564</v>
      </c>
      <c r="K968" s="1" t="s">
        <v>74</v>
      </c>
      <c r="L968" s="1" t="s">
        <v>74</v>
      </c>
      <c r="M968" s="1" t="s">
        <v>74</v>
      </c>
      <c r="N968" s="1" t="s">
        <v>74</v>
      </c>
      <c r="O968" s="1" t="s">
        <v>74</v>
      </c>
      <c r="P968" s="1" t="s">
        <v>74</v>
      </c>
      <c r="Q968" s="1" t="s">
        <v>74</v>
      </c>
      <c r="R968" s="1" t="s">
        <v>74</v>
      </c>
      <c r="S968" s="1" t="s">
        <v>74</v>
      </c>
      <c r="T968" s="1" t="s">
        <v>74</v>
      </c>
      <c r="U968" s="1" t="s">
        <v>74</v>
      </c>
      <c r="V968" s="1" t="s">
        <v>9565</v>
      </c>
      <c r="W968" s="1" t="s">
        <v>74</v>
      </c>
      <c r="X968" s="1" t="s">
        <v>74</v>
      </c>
      <c r="Y968" s="1" t="s">
        <v>74</v>
      </c>
      <c r="Z968" s="1" t="s">
        <v>74</v>
      </c>
      <c r="AA968" s="1" t="s">
        <v>9566</v>
      </c>
      <c r="AB968" s="1" t="s">
        <v>9567</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9568</v>
      </c>
      <c r="AP968" s="1" t="s">
        <v>74</v>
      </c>
      <c r="AQ968" s="1" t="s">
        <v>74</v>
      </c>
      <c r="AR968" s="1" t="s">
        <v>74</v>
      </c>
      <c r="AS968" s="1" t="s">
        <v>74</v>
      </c>
      <c r="AT968" s="1" t="s">
        <v>74</v>
      </c>
      <c r="AU968" s="1">
        <v>2010.0</v>
      </c>
      <c r="AV968" s="1">
        <v>11.0</v>
      </c>
      <c r="AW968" s="1">
        <v>9.0</v>
      </c>
      <c r="AX968" s="1" t="s">
        <v>74</v>
      </c>
      <c r="AY968" s="1" t="s">
        <v>74</v>
      </c>
      <c r="AZ968" s="1" t="s">
        <v>74</v>
      </c>
      <c r="BA968" s="1" t="s">
        <v>74</v>
      </c>
      <c r="BB968" s="1" t="s">
        <v>74</v>
      </c>
      <c r="BC968" s="1" t="s">
        <v>74</v>
      </c>
      <c r="BD968" s="1">
        <v>403.0</v>
      </c>
      <c r="BE968" s="1" t="s">
        <v>9569</v>
      </c>
      <c r="BF968" s="2" t="str">
        <f>HYPERLINK("http://dx.doi.org/10.1186/gb-2010-11-9-403","http://dx.doi.org/10.1186/gb-2010-11-9-403")</f>
        <v>http://dx.doi.org/10.1186/gb-2010-11-9-403</v>
      </c>
      <c r="BG968" s="1" t="s">
        <v>74</v>
      </c>
      <c r="BH968" s="1" t="s">
        <v>74</v>
      </c>
      <c r="BI968" s="1" t="s">
        <v>74</v>
      </c>
      <c r="BJ968" s="1" t="s">
        <v>74</v>
      </c>
      <c r="BK968" s="1" t="s">
        <v>74</v>
      </c>
      <c r="BL968" s="1" t="s">
        <v>74</v>
      </c>
      <c r="BM968" s="1" t="s">
        <v>74</v>
      </c>
      <c r="BN968" s="1">
        <v>2.0887641E7</v>
      </c>
      <c r="BO968" s="1" t="s">
        <v>74</v>
      </c>
      <c r="BP968" s="1" t="s">
        <v>74</v>
      </c>
      <c r="BQ968" s="1" t="s">
        <v>74</v>
      </c>
      <c r="BR968" s="1" t="s">
        <v>74</v>
      </c>
      <c r="BS968" s="1" t="s">
        <v>9570</v>
      </c>
      <c r="BT968" s="1" t="str">
        <f>HYPERLINK("https%3A%2F%2Fwww.webofscience.com%2Fwos%2Fwoscc%2Ffull-record%2FWOS:000283777800015","View Full Record in Web of Science")</f>
        <v>View Full Record in Web of Science</v>
      </c>
    </row>
    <row r="969" ht="12.75" customHeight="1">
      <c r="A969" s="1" t="s">
        <v>72</v>
      </c>
      <c r="B969" s="1" t="s">
        <v>9571</v>
      </c>
      <c r="C969" s="1" t="s">
        <v>74</v>
      </c>
      <c r="D969" s="1" t="s">
        <v>74</v>
      </c>
      <c r="E969" s="1" t="s">
        <v>74</v>
      </c>
      <c r="F969" s="1" t="s">
        <v>9572</v>
      </c>
      <c r="G969" s="1" t="s">
        <v>74</v>
      </c>
      <c r="H969" s="1" t="s">
        <v>74</v>
      </c>
      <c r="I969" s="1" t="s">
        <v>9573</v>
      </c>
      <c r="J969" s="1" t="s">
        <v>9574</v>
      </c>
      <c r="K969" s="1" t="s">
        <v>74</v>
      </c>
      <c r="L969" s="1" t="s">
        <v>74</v>
      </c>
      <c r="M969" s="1" t="s">
        <v>74</v>
      </c>
      <c r="N969" s="1" t="s">
        <v>74</v>
      </c>
      <c r="O969" s="1" t="s">
        <v>74</v>
      </c>
      <c r="P969" s="1" t="s">
        <v>74</v>
      </c>
      <c r="Q969" s="1" t="s">
        <v>74</v>
      </c>
      <c r="R969" s="1" t="s">
        <v>74</v>
      </c>
      <c r="S969" s="1" t="s">
        <v>74</v>
      </c>
      <c r="T969" s="1" t="s">
        <v>74</v>
      </c>
      <c r="U969" s="1" t="s">
        <v>74</v>
      </c>
      <c r="V969" s="1" t="s">
        <v>9575</v>
      </c>
      <c r="W969" s="1" t="s">
        <v>74</v>
      </c>
      <c r="X969" s="1" t="s">
        <v>74</v>
      </c>
      <c r="Y969" s="1" t="s">
        <v>74</v>
      </c>
      <c r="Z969" s="1" t="s">
        <v>74</v>
      </c>
      <c r="AA969" s="1" t="s">
        <v>9576</v>
      </c>
      <c r="AB969" s="1" t="s">
        <v>9577</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9578</v>
      </c>
      <c r="AP969" s="1" t="s">
        <v>9579</v>
      </c>
      <c r="AQ969" s="1" t="s">
        <v>74</v>
      </c>
      <c r="AR969" s="1" t="s">
        <v>74</v>
      </c>
      <c r="AS969" s="1" t="s">
        <v>74</v>
      </c>
      <c r="AT969" s="1" t="s">
        <v>106</v>
      </c>
      <c r="AU969" s="1">
        <v>2021.0</v>
      </c>
      <c r="AV969" s="1">
        <v>29.0</v>
      </c>
      <c r="AW969" s="1">
        <v>11.0</v>
      </c>
      <c r="AX969" s="1" t="s">
        <v>74</v>
      </c>
      <c r="AY969" s="1" t="s">
        <v>74</v>
      </c>
      <c r="AZ969" s="1" t="s">
        <v>74</v>
      </c>
      <c r="BA969" s="1" t="s">
        <v>74</v>
      </c>
      <c r="BB969" s="1">
        <v>1825.0</v>
      </c>
      <c r="BC969" s="1">
        <v>1834.0</v>
      </c>
      <c r="BD969" s="1" t="s">
        <v>74</v>
      </c>
      <c r="BE969" s="1" t="s">
        <v>9580</v>
      </c>
      <c r="BF969" s="2" t="str">
        <f>HYPERLINK("http://dx.doi.org/10.1002/oby.23165","http://dx.doi.org/10.1002/oby.23165")</f>
        <v>http://dx.doi.org/10.1002/oby.23165</v>
      </c>
      <c r="BG969" s="1" t="s">
        <v>74</v>
      </c>
      <c r="BH969" s="1" t="s">
        <v>887</v>
      </c>
      <c r="BI969" s="1" t="s">
        <v>74</v>
      </c>
      <c r="BJ969" s="1" t="s">
        <v>74</v>
      </c>
      <c r="BK969" s="1" t="s">
        <v>74</v>
      </c>
      <c r="BL969" s="1" t="s">
        <v>74</v>
      </c>
      <c r="BM969" s="1" t="s">
        <v>74</v>
      </c>
      <c r="BN969" s="1">
        <v>3.4533295E7</v>
      </c>
      <c r="BO969" s="1" t="s">
        <v>74</v>
      </c>
      <c r="BP969" s="1" t="s">
        <v>74</v>
      </c>
      <c r="BQ969" s="1" t="s">
        <v>74</v>
      </c>
      <c r="BR969" s="1" t="s">
        <v>74</v>
      </c>
      <c r="BS969" s="1" t="s">
        <v>9581</v>
      </c>
      <c r="BT969" s="1" t="str">
        <f>HYPERLINK("https%3A%2F%2Fwww.webofscience.com%2Fwos%2Fwoscc%2Ffull-record%2FWOS:000696505600001","View Full Record in Web of Science")</f>
        <v>View Full Record in Web of Science</v>
      </c>
    </row>
    <row r="970" ht="12.75" customHeight="1">
      <c r="A970" s="1" t="s">
        <v>72</v>
      </c>
      <c r="B970" s="1" t="s">
        <v>9582</v>
      </c>
      <c r="C970" s="1" t="s">
        <v>74</v>
      </c>
      <c r="D970" s="1" t="s">
        <v>74</v>
      </c>
      <c r="E970" s="1" t="s">
        <v>74</v>
      </c>
      <c r="F970" s="1" t="s">
        <v>9582</v>
      </c>
      <c r="G970" s="1" t="s">
        <v>74</v>
      </c>
      <c r="H970" s="1" t="s">
        <v>74</v>
      </c>
      <c r="I970" s="1" t="s">
        <v>9583</v>
      </c>
      <c r="J970" s="1" t="s">
        <v>9584</v>
      </c>
      <c r="K970" s="1" t="s">
        <v>74</v>
      </c>
      <c r="L970" s="1" t="s">
        <v>74</v>
      </c>
      <c r="M970" s="1" t="s">
        <v>74</v>
      </c>
      <c r="N970" s="1" t="s">
        <v>74</v>
      </c>
      <c r="O970" s="1" t="s">
        <v>74</v>
      </c>
      <c r="P970" s="1" t="s">
        <v>74</v>
      </c>
      <c r="Q970" s="1" t="s">
        <v>74</v>
      </c>
      <c r="R970" s="1" t="s">
        <v>74</v>
      </c>
      <c r="S970" s="1" t="s">
        <v>74</v>
      </c>
      <c r="T970" s="1" t="s">
        <v>74</v>
      </c>
      <c r="U970" s="1" t="s">
        <v>74</v>
      </c>
      <c r="V970" s="1" t="s">
        <v>9585</v>
      </c>
      <c r="W970" s="1" t="s">
        <v>74</v>
      </c>
      <c r="X970" s="1" t="s">
        <v>74</v>
      </c>
      <c r="Y970" s="1" t="s">
        <v>74</v>
      </c>
      <c r="Z970" s="1" t="s">
        <v>74</v>
      </c>
      <c r="AA970" s="1" t="s">
        <v>9586</v>
      </c>
      <c r="AB970" s="1" t="s">
        <v>9587</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9588</v>
      </c>
      <c r="AP970" s="1" t="s">
        <v>9589</v>
      </c>
      <c r="AQ970" s="1" t="s">
        <v>74</v>
      </c>
      <c r="AR970" s="1" t="s">
        <v>74</v>
      </c>
      <c r="AS970" s="1" t="s">
        <v>74</v>
      </c>
      <c r="AT970" s="1" t="s">
        <v>214</v>
      </c>
      <c r="AU970" s="1">
        <v>2004.0</v>
      </c>
      <c r="AV970" s="1">
        <v>15.0</v>
      </c>
      <c r="AW970" s="1">
        <v>1.0</v>
      </c>
      <c r="AX970" s="1" t="s">
        <v>74</v>
      </c>
      <c r="AY970" s="1" t="s">
        <v>74</v>
      </c>
      <c r="AZ970" s="1" t="s">
        <v>74</v>
      </c>
      <c r="BA970" s="1" t="s">
        <v>74</v>
      </c>
      <c r="BB970" s="1">
        <v>55.0</v>
      </c>
      <c r="BC970" s="1">
        <v>61.0</v>
      </c>
      <c r="BD970" s="1" t="s">
        <v>74</v>
      </c>
      <c r="BE970" s="1" t="s">
        <v>9590</v>
      </c>
      <c r="BF970" s="2" t="str">
        <f>HYPERLINK("http://dx.doi.org/10.1046/j.0905-6157.2003.00100.x","http://dx.doi.org/10.1046/j.0905-6157.2003.00100.x")</f>
        <v>http://dx.doi.org/10.1046/j.0905-6157.2003.00100.x</v>
      </c>
      <c r="BG970" s="1" t="s">
        <v>74</v>
      </c>
      <c r="BH970" s="1" t="s">
        <v>74</v>
      </c>
      <c r="BI970" s="1" t="s">
        <v>74</v>
      </c>
      <c r="BJ970" s="1" t="s">
        <v>74</v>
      </c>
      <c r="BK970" s="1" t="s">
        <v>74</v>
      </c>
      <c r="BL970" s="1" t="s">
        <v>74</v>
      </c>
      <c r="BM970" s="1" t="s">
        <v>74</v>
      </c>
      <c r="BN970" s="1">
        <v>1.4998383E7</v>
      </c>
      <c r="BO970" s="1" t="s">
        <v>74</v>
      </c>
      <c r="BP970" s="1" t="s">
        <v>74</v>
      </c>
      <c r="BQ970" s="1" t="s">
        <v>74</v>
      </c>
      <c r="BR970" s="1" t="s">
        <v>74</v>
      </c>
      <c r="BS970" s="1" t="s">
        <v>9591</v>
      </c>
      <c r="BT970" s="1" t="str">
        <f>HYPERLINK("https%3A%2F%2Fwww.webofscience.com%2Fwos%2Fwoscc%2Ffull-record%2FWOS:000220251500008","View Full Record in Web of Science")</f>
        <v>View Full Record in Web of Science</v>
      </c>
    </row>
    <row r="971" ht="12.75" customHeight="1">
      <c r="A971" s="1" t="s">
        <v>72</v>
      </c>
      <c r="B971" s="1" t="s">
        <v>9592</v>
      </c>
      <c r="C971" s="1" t="s">
        <v>74</v>
      </c>
      <c r="D971" s="1" t="s">
        <v>74</v>
      </c>
      <c r="E971" s="1" t="s">
        <v>74</v>
      </c>
      <c r="F971" s="1" t="s">
        <v>9593</v>
      </c>
      <c r="G971" s="1" t="s">
        <v>74</v>
      </c>
      <c r="H971" s="1" t="s">
        <v>74</v>
      </c>
      <c r="I971" s="1" t="s">
        <v>9594</v>
      </c>
      <c r="J971" s="1" t="s">
        <v>3512</v>
      </c>
      <c r="K971" s="1" t="s">
        <v>74</v>
      </c>
      <c r="L971" s="1" t="s">
        <v>74</v>
      </c>
      <c r="M971" s="1" t="s">
        <v>74</v>
      </c>
      <c r="N971" s="1" t="s">
        <v>74</v>
      </c>
      <c r="O971" s="1" t="s">
        <v>74</v>
      </c>
      <c r="P971" s="1" t="s">
        <v>74</v>
      </c>
      <c r="Q971" s="1" t="s">
        <v>74</v>
      </c>
      <c r="R971" s="1" t="s">
        <v>74</v>
      </c>
      <c r="S971" s="1" t="s">
        <v>74</v>
      </c>
      <c r="T971" s="1" t="s">
        <v>74</v>
      </c>
      <c r="U971" s="1" t="s">
        <v>74</v>
      </c>
      <c r="V971" s="1" t="s">
        <v>9595</v>
      </c>
      <c r="W971" s="1" t="s">
        <v>74</v>
      </c>
      <c r="X971" s="1" t="s">
        <v>74</v>
      </c>
      <c r="Y971" s="1" t="s">
        <v>74</v>
      </c>
      <c r="Z971" s="1" t="s">
        <v>74</v>
      </c>
      <c r="AA971" s="1" t="s">
        <v>9596</v>
      </c>
      <c r="AB971" s="1" t="s">
        <v>9597</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74</v>
      </c>
      <c r="AP971" s="1" t="s">
        <v>3516</v>
      </c>
      <c r="AQ971" s="1" t="s">
        <v>74</v>
      </c>
      <c r="AR971" s="1" t="s">
        <v>74</v>
      </c>
      <c r="AS971" s="1" t="s">
        <v>74</v>
      </c>
      <c r="AT971" s="1" t="s">
        <v>392</v>
      </c>
      <c r="AU971" s="1">
        <v>2023.0</v>
      </c>
      <c r="AV971" s="1">
        <v>10.0</v>
      </c>
      <c r="AW971" s="1">
        <v>4.0</v>
      </c>
      <c r="AX971" s="1" t="s">
        <v>74</v>
      </c>
      <c r="AY971" s="1" t="s">
        <v>74</v>
      </c>
      <c r="AZ971" s="1" t="s">
        <v>74</v>
      </c>
      <c r="BA971" s="1" t="s">
        <v>74</v>
      </c>
      <c r="BB971" s="1" t="s">
        <v>74</v>
      </c>
      <c r="BC971" s="1" t="s">
        <v>74</v>
      </c>
      <c r="BD971" s="1">
        <v>650.0</v>
      </c>
      <c r="BE971" s="1" t="s">
        <v>9598</v>
      </c>
      <c r="BF971" s="2" t="str">
        <f>HYPERLINK("http://dx.doi.org/10.3390/children10040650","http://dx.doi.org/10.3390/children10040650")</f>
        <v>http://dx.doi.org/10.3390/children10040650</v>
      </c>
      <c r="BG971" s="1" t="s">
        <v>74</v>
      </c>
      <c r="BH971" s="1" t="s">
        <v>74</v>
      </c>
      <c r="BI971" s="1" t="s">
        <v>74</v>
      </c>
      <c r="BJ971" s="1" t="s">
        <v>74</v>
      </c>
      <c r="BK971" s="1" t="s">
        <v>74</v>
      </c>
      <c r="BL971" s="1" t="s">
        <v>74</v>
      </c>
      <c r="BM971" s="1" t="s">
        <v>74</v>
      </c>
      <c r="BN971" s="1">
        <v>3.7189899E7</v>
      </c>
      <c r="BO971" s="1" t="s">
        <v>74</v>
      </c>
      <c r="BP971" s="1" t="s">
        <v>74</v>
      </c>
      <c r="BQ971" s="1" t="s">
        <v>74</v>
      </c>
      <c r="BR971" s="1" t="s">
        <v>74</v>
      </c>
      <c r="BS971" s="1" t="s">
        <v>9599</v>
      </c>
      <c r="BT971" s="1" t="str">
        <f>HYPERLINK("https%3A%2F%2Fwww.webofscience.com%2Fwos%2Fwoscc%2Ffull-record%2FWOS:000984059800001","View Full Record in Web of Science")</f>
        <v>View Full Record in Web of Science</v>
      </c>
    </row>
    <row r="972" ht="12.75" customHeight="1">
      <c r="A972" s="1" t="s">
        <v>72</v>
      </c>
      <c r="B972" s="1" t="s">
        <v>9600</v>
      </c>
      <c r="C972" s="1" t="s">
        <v>74</v>
      </c>
      <c r="D972" s="1" t="s">
        <v>74</v>
      </c>
      <c r="E972" s="1" t="s">
        <v>74</v>
      </c>
      <c r="F972" s="1" t="s">
        <v>9601</v>
      </c>
      <c r="G972" s="1" t="s">
        <v>74</v>
      </c>
      <c r="H972" s="1" t="s">
        <v>74</v>
      </c>
      <c r="I972" s="1" t="s">
        <v>9602</v>
      </c>
      <c r="J972" s="1" t="s">
        <v>9603</v>
      </c>
      <c r="K972" s="1" t="s">
        <v>74</v>
      </c>
      <c r="L972" s="1" t="s">
        <v>74</v>
      </c>
      <c r="M972" s="1" t="s">
        <v>74</v>
      </c>
      <c r="N972" s="1" t="s">
        <v>74</v>
      </c>
      <c r="O972" s="1" t="s">
        <v>74</v>
      </c>
      <c r="P972" s="1" t="s">
        <v>74</v>
      </c>
      <c r="Q972" s="1" t="s">
        <v>74</v>
      </c>
      <c r="R972" s="1" t="s">
        <v>74</v>
      </c>
      <c r="S972" s="1" t="s">
        <v>74</v>
      </c>
      <c r="T972" s="1" t="s">
        <v>74</v>
      </c>
      <c r="U972" s="1" t="s">
        <v>74</v>
      </c>
      <c r="V972" s="1" t="s">
        <v>9604</v>
      </c>
      <c r="W972" s="1" t="s">
        <v>74</v>
      </c>
      <c r="X972" s="1" t="s">
        <v>74</v>
      </c>
      <c r="Y972" s="1" t="s">
        <v>74</v>
      </c>
      <c r="Z972" s="1" t="s">
        <v>74</v>
      </c>
      <c r="AA972" s="1" t="s">
        <v>9605</v>
      </c>
      <c r="AB972" s="1" t="s">
        <v>9606</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9607</v>
      </c>
      <c r="AP972" s="1" t="s">
        <v>9608</v>
      </c>
      <c r="AQ972" s="1" t="s">
        <v>74</v>
      </c>
      <c r="AR972" s="1" t="s">
        <v>74</v>
      </c>
      <c r="AS972" s="1" t="s">
        <v>74</v>
      </c>
      <c r="AT972" s="1" t="s">
        <v>745</v>
      </c>
      <c r="AU972" s="1">
        <v>2023.0</v>
      </c>
      <c r="AV972" s="1">
        <v>14.0</v>
      </c>
      <c r="AW972" s="1">
        <v>4.0</v>
      </c>
      <c r="AX972" s="1" t="s">
        <v>74</v>
      </c>
      <c r="AY972" s="1" t="s">
        <v>74</v>
      </c>
      <c r="AZ972" s="1" t="s">
        <v>74</v>
      </c>
      <c r="BA972" s="1" t="s">
        <v>74</v>
      </c>
      <c r="BB972" s="1">
        <v>710.0</v>
      </c>
      <c r="BC972" s="1">
        <v>717.0</v>
      </c>
      <c r="BD972" s="1" t="s">
        <v>74</v>
      </c>
      <c r="BE972" s="1" t="s">
        <v>9609</v>
      </c>
      <c r="BF972" s="2" t="str">
        <f>HYPERLINK("http://dx.doi.org/10.1016/j.advnut.2023.05.010","http://dx.doi.org/10.1016/j.advnut.2023.05.010")</f>
        <v>http://dx.doi.org/10.1016/j.advnut.2023.05.010</v>
      </c>
      <c r="BG972" s="1" t="s">
        <v>74</v>
      </c>
      <c r="BH972" s="1" t="s">
        <v>1507</v>
      </c>
      <c r="BI972" s="1" t="s">
        <v>74</v>
      </c>
      <c r="BJ972" s="1" t="s">
        <v>74</v>
      </c>
      <c r="BK972" s="1" t="s">
        <v>74</v>
      </c>
      <c r="BL972" s="1" t="s">
        <v>74</v>
      </c>
      <c r="BM972" s="1" t="s">
        <v>74</v>
      </c>
      <c r="BN972" s="1">
        <v>3.7187453E7</v>
      </c>
      <c r="BO972" s="1" t="s">
        <v>74</v>
      </c>
      <c r="BP972" s="1" t="s">
        <v>74</v>
      </c>
      <c r="BQ972" s="1" t="s">
        <v>74</v>
      </c>
      <c r="BR972" s="1" t="s">
        <v>74</v>
      </c>
      <c r="BS972" s="1" t="s">
        <v>9610</v>
      </c>
      <c r="BT972" s="1" t="str">
        <f>HYPERLINK("https%3A%2F%2Fwww.webofscience.com%2Fwos%2Fwoscc%2Ffull-record%2FWOS:001029923900001","View Full Record in Web of Science")</f>
        <v>View Full Record in Web of Science</v>
      </c>
    </row>
    <row r="973" ht="12.75" customHeight="1">
      <c r="A973" s="1" t="s">
        <v>72</v>
      </c>
      <c r="B973" s="1" t="s">
        <v>9611</v>
      </c>
      <c r="C973" s="1" t="s">
        <v>74</v>
      </c>
      <c r="D973" s="1" t="s">
        <v>74</v>
      </c>
      <c r="E973" s="1" t="s">
        <v>74</v>
      </c>
      <c r="F973" s="1" t="s">
        <v>9612</v>
      </c>
      <c r="G973" s="1" t="s">
        <v>74</v>
      </c>
      <c r="H973" s="1" t="s">
        <v>9613</v>
      </c>
      <c r="I973" s="1" t="s">
        <v>9614</v>
      </c>
      <c r="J973" s="1" t="s">
        <v>147</v>
      </c>
      <c r="K973" s="1" t="s">
        <v>74</v>
      </c>
      <c r="L973" s="1" t="s">
        <v>74</v>
      </c>
      <c r="M973" s="1" t="s">
        <v>74</v>
      </c>
      <c r="N973" s="1" t="s">
        <v>74</v>
      </c>
      <c r="O973" s="1" t="s">
        <v>74</v>
      </c>
      <c r="P973" s="1" t="s">
        <v>74</v>
      </c>
      <c r="Q973" s="1" t="s">
        <v>74</v>
      </c>
      <c r="R973" s="1" t="s">
        <v>74</v>
      </c>
      <c r="S973" s="1" t="s">
        <v>74</v>
      </c>
      <c r="T973" s="1" t="s">
        <v>74</v>
      </c>
      <c r="U973" s="1" t="s">
        <v>74</v>
      </c>
      <c r="V973" s="1" t="s">
        <v>9615</v>
      </c>
      <c r="W973" s="1" t="s">
        <v>74</v>
      </c>
      <c r="X973" s="1" t="s">
        <v>74</v>
      </c>
      <c r="Y973" s="1" t="s">
        <v>74</v>
      </c>
      <c r="Z973" s="1" t="s">
        <v>74</v>
      </c>
      <c r="AA973" s="1" t="s">
        <v>9616</v>
      </c>
      <c r="AB973" s="1" t="s">
        <v>9617</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151</v>
      </c>
      <c r="AP973" s="1" t="s">
        <v>74</v>
      </c>
      <c r="AQ973" s="1" t="s">
        <v>74</v>
      </c>
      <c r="AR973" s="1" t="s">
        <v>74</v>
      </c>
      <c r="AS973" s="1" t="s">
        <v>74</v>
      </c>
      <c r="AT973" s="1" t="s">
        <v>189</v>
      </c>
      <c r="AU973" s="1">
        <v>2010.0</v>
      </c>
      <c r="AV973" s="1">
        <v>5.0</v>
      </c>
      <c r="AW973" s="1">
        <v>12.0</v>
      </c>
      <c r="AX973" s="1" t="s">
        <v>74</v>
      </c>
      <c r="AY973" s="1" t="s">
        <v>74</v>
      </c>
      <c r="AZ973" s="1" t="s">
        <v>74</v>
      </c>
      <c r="BA973" s="1" t="s">
        <v>74</v>
      </c>
      <c r="BB973" s="1" t="s">
        <v>74</v>
      </c>
      <c r="BC973" s="1" t="s">
        <v>74</v>
      </c>
      <c r="BD973" s="1" t="s">
        <v>9618</v>
      </c>
      <c r="BE973" s="1" t="s">
        <v>9619</v>
      </c>
      <c r="BF973" s="2" t="str">
        <f>HYPERLINK("http://dx.doi.org/10.1371/journal.pone.0014176","http://dx.doi.org/10.1371/journal.pone.0014176")</f>
        <v>http://dx.doi.org/10.1371/journal.pone.0014176</v>
      </c>
      <c r="BG973" s="1" t="s">
        <v>74</v>
      </c>
      <c r="BH973" s="1" t="s">
        <v>74</v>
      </c>
      <c r="BI973" s="1" t="s">
        <v>74</v>
      </c>
      <c r="BJ973" s="1" t="s">
        <v>74</v>
      </c>
      <c r="BK973" s="1" t="s">
        <v>74</v>
      </c>
      <c r="BL973" s="1" t="s">
        <v>74</v>
      </c>
      <c r="BM973" s="1" t="s">
        <v>74</v>
      </c>
      <c r="BN973" s="1">
        <v>2.1152067E7</v>
      </c>
      <c r="BO973" s="1" t="s">
        <v>74</v>
      </c>
      <c r="BP973" s="1" t="s">
        <v>74</v>
      </c>
      <c r="BQ973" s="1" t="s">
        <v>74</v>
      </c>
      <c r="BR973" s="1" t="s">
        <v>74</v>
      </c>
      <c r="BS973" s="1" t="s">
        <v>9620</v>
      </c>
      <c r="BT973" s="1" t="str">
        <f>HYPERLINK("https%3A%2F%2Fwww.webofscience.com%2Fwos%2Fwoscc%2Ffull-record%2FWOS:000284821300001","View Full Record in Web of Science")</f>
        <v>View Full Record in Web of Science</v>
      </c>
    </row>
    <row r="974" ht="12.75" customHeight="1">
      <c r="A974" s="1" t="s">
        <v>72</v>
      </c>
      <c r="B974" s="1" t="s">
        <v>9621</v>
      </c>
      <c r="C974" s="1" t="s">
        <v>74</v>
      </c>
      <c r="D974" s="1" t="s">
        <v>74</v>
      </c>
      <c r="E974" s="1" t="s">
        <v>74</v>
      </c>
      <c r="F974" s="1" t="s">
        <v>9622</v>
      </c>
      <c r="G974" s="1" t="s">
        <v>74</v>
      </c>
      <c r="H974" s="1" t="s">
        <v>74</v>
      </c>
      <c r="I974" s="1" t="s">
        <v>9623</v>
      </c>
      <c r="J974" s="1" t="s">
        <v>9624</v>
      </c>
      <c r="K974" s="1" t="s">
        <v>74</v>
      </c>
      <c r="L974" s="1" t="s">
        <v>74</v>
      </c>
      <c r="M974" s="1" t="s">
        <v>74</v>
      </c>
      <c r="N974" s="1" t="s">
        <v>74</v>
      </c>
      <c r="O974" s="1" t="s">
        <v>74</v>
      </c>
      <c r="P974" s="1" t="s">
        <v>74</v>
      </c>
      <c r="Q974" s="1" t="s">
        <v>74</v>
      </c>
      <c r="R974" s="1" t="s">
        <v>74</v>
      </c>
      <c r="S974" s="1" t="s">
        <v>74</v>
      </c>
      <c r="T974" s="1" t="s">
        <v>74</v>
      </c>
      <c r="U974" s="1" t="s">
        <v>74</v>
      </c>
      <c r="V974" s="1" t="s">
        <v>9625</v>
      </c>
      <c r="W974" s="1" t="s">
        <v>74</v>
      </c>
      <c r="X974" s="1" t="s">
        <v>74</v>
      </c>
      <c r="Y974" s="1" t="s">
        <v>74</v>
      </c>
      <c r="Z974" s="1" t="s">
        <v>74</v>
      </c>
      <c r="AA974" s="1" t="s">
        <v>9626</v>
      </c>
      <c r="AB974" s="1" t="s">
        <v>9627</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9628</v>
      </c>
      <c r="AP974" s="1" t="s">
        <v>9629</v>
      </c>
      <c r="AQ974" s="1" t="s">
        <v>74</v>
      </c>
      <c r="AR974" s="1" t="s">
        <v>74</v>
      </c>
      <c r="AS974" s="1" t="s">
        <v>74</v>
      </c>
      <c r="AT974" s="1" t="s">
        <v>74</v>
      </c>
      <c r="AU974" s="1">
        <v>2024.0</v>
      </c>
      <c r="AV974" s="1">
        <v>74.0</v>
      </c>
      <c r="AW974" s="1">
        <v>2.0</v>
      </c>
      <c r="AX974" s="1" t="s">
        <v>74</v>
      </c>
      <c r="AY974" s="1" t="s">
        <v>74</v>
      </c>
      <c r="AZ974" s="1" t="s">
        <v>74</v>
      </c>
      <c r="BA974" s="1" t="s">
        <v>74</v>
      </c>
      <c r="BB974" s="1" t="s">
        <v>74</v>
      </c>
      <c r="BC974" s="1" t="s">
        <v>74</v>
      </c>
      <c r="BD974" s="1">
        <v>6270.0</v>
      </c>
      <c r="BE974" s="1" t="s">
        <v>9630</v>
      </c>
      <c r="BF974" s="2" t="str">
        <f>HYPERLINK("http://dx.doi.org/10.1099/ijsem.0.006270","http://dx.doi.org/10.1099/ijsem.0.006270")</f>
        <v>http://dx.doi.org/10.1099/ijsem.0.006270</v>
      </c>
      <c r="BG974" s="1" t="s">
        <v>74</v>
      </c>
      <c r="BH974" s="1" t="s">
        <v>74</v>
      </c>
      <c r="BI974" s="1" t="s">
        <v>74</v>
      </c>
      <c r="BJ974" s="1" t="s">
        <v>74</v>
      </c>
      <c r="BK974" s="1" t="s">
        <v>74</v>
      </c>
      <c r="BL974" s="1" t="s">
        <v>74</v>
      </c>
      <c r="BM974" s="1" t="s">
        <v>74</v>
      </c>
      <c r="BN974" s="1">
        <v>3.8407127E7</v>
      </c>
      <c r="BO974" s="1" t="s">
        <v>74</v>
      </c>
      <c r="BP974" s="1" t="s">
        <v>74</v>
      </c>
      <c r="BQ974" s="1" t="s">
        <v>74</v>
      </c>
      <c r="BR974" s="1" t="s">
        <v>74</v>
      </c>
      <c r="BS974" s="1" t="s">
        <v>9631</v>
      </c>
      <c r="BT974" s="1" t="str">
        <f>HYPERLINK("https%3A%2F%2Fwww.webofscience.com%2Fwos%2Fwoscc%2Ffull-record%2FWOS:001206400700005","View Full Record in Web of Science")</f>
        <v>View Full Record in Web of Science</v>
      </c>
    </row>
    <row r="975" ht="12.75" customHeight="1">
      <c r="A975" s="1" t="s">
        <v>72</v>
      </c>
      <c r="B975" s="1" t="s">
        <v>9632</v>
      </c>
      <c r="C975" s="1" t="s">
        <v>74</v>
      </c>
      <c r="D975" s="1" t="s">
        <v>74</v>
      </c>
      <c r="E975" s="1" t="s">
        <v>74</v>
      </c>
      <c r="F975" s="1" t="s">
        <v>9633</v>
      </c>
      <c r="G975" s="1" t="s">
        <v>74</v>
      </c>
      <c r="H975" s="1" t="s">
        <v>74</v>
      </c>
      <c r="I975" s="1" t="s">
        <v>9634</v>
      </c>
      <c r="J975" s="1" t="s">
        <v>515</v>
      </c>
      <c r="K975" s="1" t="s">
        <v>74</v>
      </c>
      <c r="L975" s="1" t="s">
        <v>74</v>
      </c>
      <c r="M975" s="1" t="s">
        <v>74</v>
      </c>
      <c r="N975" s="1" t="s">
        <v>74</v>
      </c>
      <c r="O975" s="1" t="s">
        <v>74</v>
      </c>
      <c r="P975" s="1" t="s">
        <v>74</v>
      </c>
      <c r="Q975" s="1" t="s">
        <v>74</v>
      </c>
      <c r="R975" s="1" t="s">
        <v>74</v>
      </c>
      <c r="S975" s="1" t="s">
        <v>74</v>
      </c>
      <c r="T975" s="1" t="s">
        <v>74</v>
      </c>
      <c r="U975" s="1" t="s">
        <v>74</v>
      </c>
      <c r="V975" s="1" t="s">
        <v>9635</v>
      </c>
      <c r="W975" s="1" t="s">
        <v>74</v>
      </c>
      <c r="X975" s="1" t="s">
        <v>74</v>
      </c>
      <c r="Y975" s="1" t="s">
        <v>74</v>
      </c>
      <c r="Z975" s="1" t="s">
        <v>74</v>
      </c>
      <c r="AA975" s="1" t="s">
        <v>9636</v>
      </c>
      <c r="AB975" s="1" t="s">
        <v>9637</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3717</v>
      </c>
      <c r="AP975" s="1" t="s">
        <v>519</v>
      </c>
      <c r="AQ975" s="1" t="s">
        <v>74</v>
      </c>
      <c r="AR975" s="1" t="s">
        <v>74</v>
      </c>
      <c r="AS975" s="1" t="s">
        <v>74</v>
      </c>
      <c r="AT975" s="1" t="s">
        <v>94</v>
      </c>
      <c r="AU975" s="1">
        <v>2020.0</v>
      </c>
      <c r="AV975" s="1">
        <v>21.0</v>
      </c>
      <c r="AW975" s="1">
        <v>24.0</v>
      </c>
      <c r="AX975" s="1" t="s">
        <v>74</v>
      </c>
      <c r="AY975" s="1" t="s">
        <v>74</v>
      </c>
      <c r="AZ975" s="1" t="s">
        <v>74</v>
      </c>
      <c r="BA975" s="1" t="s">
        <v>74</v>
      </c>
      <c r="BB975" s="1" t="s">
        <v>74</v>
      </c>
      <c r="BC975" s="1" t="s">
        <v>74</v>
      </c>
      <c r="BD975" s="1">
        <v>9344.0</v>
      </c>
      <c r="BE975" s="1" t="s">
        <v>9638</v>
      </c>
      <c r="BF975" s="2" t="str">
        <f>HYPERLINK("http://dx.doi.org/10.3390/ijms21249344","http://dx.doi.org/10.3390/ijms21249344")</f>
        <v>http://dx.doi.org/10.3390/ijms21249344</v>
      </c>
      <c r="BG975" s="1" t="s">
        <v>74</v>
      </c>
      <c r="BH975" s="1" t="s">
        <v>74</v>
      </c>
      <c r="BI975" s="1" t="s">
        <v>74</v>
      </c>
      <c r="BJ975" s="1" t="s">
        <v>74</v>
      </c>
      <c r="BK975" s="1" t="s">
        <v>74</v>
      </c>
      <c r="BL975" s="1" t="s">
        <v>74</v>
      </c>
      <c r="BM975" s="1" t="s">
        <v>74</v>
      </c>
      <c r="BN975" s="1">
        <v>3.3302427E7</v>
      </c>
      <c r="BO975" s="1" t="s">
        <v>74</v>
      </c>
      <c r="BP975" s="1" t="s">
        <v>74</v>
      </c>
      <c r="BQ975" s="1" t="s">
        <v>74</v>
      </c>
      <c r="BR975" s="1" t="s">
        <v>74</v>
      </c>
      <c r="BS975" s="1" t="s">
        <v>9639</v>
      </c>
      <c r="BT975" s="1" t="str">
        <f>HYPERLINK("https%3A%2F%2Fwww.webofscience.com%2Fwos%2Fwoscc%2Ffull-record%2FWOS:000602776500001","View Full Record in Web of Science")</f>
        <v>View Full Record in Web of Science</v>
      </c>
    </row>
    <row r="976" ht="12.75" customHeight="1">
      <c r="A976" s="1" t="s">
        <v>72</v>
      </c>
      <c r="B976" s="1" t="s">
        <v>9640</v>
      </c>
      <c r="C976" s="1" t="s">
        <v>74</v>
      </c>
      <c r="D976" s="1" t="s">
        <v>74</v>
      </c>
      <c r="E976" s="1" t="s">
        <v>74</v>
      </c>
      <c r="F976" s="1" t="s">
        <v>9641</v>
      </c>
      <c r="G976" s="1" t="s">
        <v>74</v>
      </c>
      <c r="H976" s="1" t="s">
        <v>74</v>
      </c>
      <c r="I976" s="1" t="s">
        <v>9642</v>
      </c>
      <c r="J976" s="1" t="s">
        <v>1226</v>
      </c>
      <c r="K976" s="1" t="s">
        <v>74</v>
      </c>
      <c r="L976" s="1" t="s">
        <v>74</v>
      </c>
      <c r="M976" s="1" t="s">
        <v>74</v>
      </c>
      <c r="N976" s="1" t="s">
        <v>74</v>
      </c>
      <c r="O976" s="1" t="s">
        <v>74</v>
      </c>
      <c r="P976" s="1" t="s">
        <v>74</v>
      </c>
      <c r="Q976" s="1" t="s">
        <v>74</v>
      </c>
      <c r="R976" s="1" t="s">
        <v>74</v>
      </c>
      <c r="S976" s="1" t="s">
        <v>74</v>
      </c>
      <c r="T976" s="1" t="s">
        <v>74</v>
      </c>
      <c r="U976" s="1" t="s">
        <v>74</v>
      </c>
      <c r="V976" s="1" t="s">
        <v>9643</v>
      </c>
      <c r="W976" s="1" t="s">
        <v>74</v>
      </c>
      <c r="X976" s="1" t="s">
        <v>74</v>
      </c>
      <c r="Y976" s="1" t="s">
        <v>74</v>
      </c>
      <c r="Z976" s="1" t="s">
        <v>74</v>
      </c>
      <c r="AA976" s="1" t="s">
        <v>9644</v>
      </c>
      <c r="AB976" s="1" t="s">
        <v>9645</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1228</v>
      </c>
      <c r="AP976" s="1" t="s">
        <v>1229</v>
      </c>
      <c r="AQ976" s="1" t="s">
        <v>74</v>
      </c>
      <c r="AR976" s="1" t="s">
        <v>74</v>
      </c>
      <c r="AS976" s="1" t="s">
        <v>74</v>
      </c>
      <c r="AT976" s="1" t="s">
        <v>9646</v>
      </c>
      <c r="AU976" s="1">
        <v>2024.0</v>
      </c>
      <c r="AV976" s="1">
        <v>686.0</v>
      </c>
      <c r="AW976" s="1" t="s">
        <v>74</v>
      </c>
      <c r="AX976" s="1" t="s">
        <v>74</v>
      </c>
      <c r="AY976" s="1" t="s">
        <v>74</v>
      </c>
      <c r="AZ976" s="1" t="s">
        <v>74</v>
      </c>
      <c r="BA976" s="1" t="s">
        <v>74</v>
      </c>
      <c r="BB976" s="1" t="s">
        <v>74</v>
      </c>
      <c r="BC976" s="1" t="s">
        <v>74</v>
      </c>
      <c r="BD976" s="1" t="s">
        <v>9647</v>
      </c>
      <c r="BE976" s="1" t="s">
        <v>9648</v>
      </c>
      <c r="BF976" s="2" t="str">
        <f>HYPERLINK("http://dx.doi.org/10.1051/0004-6361/202348526","http://dx.doi.org/10.1051/0004-6361/202348526")</f>
        <v>http://dx.doi.org/10.1051/0004-6361/202348526</v>
      </c>
      <c r="BG976" s="1" t="s">
        <v>74</v>
      </c>
      <c r="BH976" s="1" t="s">
        <v>74</v>
      </c>
      <c r="BI976" s="1" t="s">
        <v>74</v>
      </c>
      <c r="BJ976" s="1" t="s">
        <v>74</v>
      </c>
      <c r="BK976" s="1" t="s">
        <v>74</v>
      </c>
      <c r="BL976" s="1" t="s">
        <v>74</v>
      </c>
      <c r="BM976" s="1" t="s">
        <v>74</v>
      </c>
      <c r="BN976" s="1" t="s">
        <v>74</v>
      </c>
      <c r="BO976" s="1" t="s">
        <v>74</v>
      </c>
      <c r="BP976" s="1" t="s">
        <v>74</v>
      </c>
      <c r="BQ976" s="1" t="s">
        <v>74</v>
      </c>
      <c r="BR976" s="1" t="s">
        <v>74</v>
      </c>
      <c r="BS976" s="1" t="s">
        <v>9649</v>
      </c>
      <c r="BT976" s="1" t="str">
        <f>HYPERLINK("https%3A%2F%2Fwww.webofscience.com%2Fwos%2Fwoscc%2Ffull-record%2FWOS:001252291000007","View Full Record in Web of Science")</f>
        <v>View Full Record in Web of Science</v>
      </c>
    </row>
    <row r="977" ht="12.75" customHeight="1">
      <c r="A977" s="1" t="s">
        <v>72</v>
      </c>
      <c r="B977" s="1" t="s">
        <v>9650</v>
      </c>
      <c r="C977" s="1" t="s">
        <v>74</v>
      </c>
      <c r="D977" s="1" t="s">
        <v>74</v>
      </c>
      <c r="E977" s="1" t="s">
        <v>74</v>
      </c>
      <c r="F977" s="1" t="s">
        <v>9651</v>
      </c>
      <c r="G977" s="1" t="s">
        <v>74</v>
      </c>
      <c r="H977" s="1" t="s">
        <v>74</v>
      </c>
      <c r="I977" s="1" t="s">
        <v>9652</v>
      </c>
      <c r="J977" s="1" t="s">
        <v>9653</v>
      </c>
      <c r="K977" s="1" t="s">
        <v>74</v>
      </c>
      <c r="L977" s="1" t="s">
        <v>74</v>
      </c>
      <c r="M977" s="1" t="s">
        <v>74</v>
      </c>
      <c r="N977" s="1" t="s">
        <v>74</v>
      </c>
      <c r="O977" s="1" t="s">
        <v>74</v>
      </c>
      <c r="P977" s="1" t="s">
        <v>74</v>
      </c>
      <c r="Q977" s="1" t="s">
        <v>74</v>
      </c>
      <c r="R977" s="1" t="s">
        <v>74</v>
      </c>
      <c r="S977" s="1" t="s">
        <v>74</v>
      </c>
      <c r="T977" s="1" t="s">
        <v>74</v>
      </c>
      <c r="U977" s="1" t="s">
        <v>74</v>
      </c>
      <c r="V977" s="1" t="s">
        <v>9654</v>
      </c>
      <c r="W977" s="1" t="s">
        <v>74</v>
      </c>
      <c r="X977" s="1" t="s">
        <v>74</v>
      </c>
      <c r="Y977" s="1" t="s">
        <v>74</v>
      </c>
      <c r="Z977" s="1" t="s">
        <v>74</v>
      </c>
      <c r="AA977" s="1" t="s">
        <v>9655</v>
      </c>
      <c r="AB977" s="1" t="s">
        <v>9656</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9657</v>
      </c>
      <c r="AP977" s="1" t="s">
        <v>9658</v>
      </c>
      <c r="AQ977" s="1" t="s">
        <v>74</v>
      </c>
      <c r="AR977" s="1" t="s">
        <v>74</v>
      </c>
      <c r="AS977" s="1" t="s">
        <v>74</v>
      </c>
      <c r="AT977" s="1" t="s">
        <v>6933</v>
      </c>
      <c r="AU977" s="1">
        <v>2023.0</v>
      </c>
      <c r="AV977" s="1">
        <v>18.0</v>
      </c>
      <c r="AW977" s="1">
        <v>1.0</v>
      </c>
      <c r="AX977" s="1" t="s">
        <v>74</v>
      </c>
      <c r="AY977" s="1" t="s">
        <v>74</v>
      </c>
      <c r="AZ977" s="1" t="s">
        <v>74</v>
      </c>
      <c r="BA977" s="1" t="s">
        <v>74</v>
      </c>
      <c r="BB977" s="1" t="s">
        <v>74</v>
      </c>
      <c r="BC977" s="1" t="s">
        <v>74</v>
      </c>
      <c r="BD977" s="1">
        <v>2251236.0</v>
      </c>
      <c r="BE977" s="1" t="s">
        <v>9659</v>
      </c>
      <c r="BF977" s="2" t="str">
        <f>HYPERLINK("http://dx.doi.org/10.1080/17482631.2023.2251236","http://dx.doi.org/10.1080/17482631.2023.2251236")</f>
        <v>http://dx.doi.org/10.1080/17482631.2023.2251236</v>
      </c>
      <c r="BG977" s="1" t="s">
        <v>74</v>
      </c>
      <c r="BH977" s="1" t="s">
        <v>74</v>
      </c>
      <c r="BI977" s="1" t="s">
        <v>74</v>
      </c>
      <c r="BJ977" s="1" t="s">
        <v>74</v>
      </c>
      <c r="BK977" s="1" t="s">
        <v>74</v>
      </c>
      <c r="BL977" s="1" t="s">
        <v>74</v>
      </c>
      <c r="BM977" s="1" t="s">
        <v>74</v>
      </c>
      <c r="BN977" s="1">
        <v>3.7639471E7</v>
      </c>
      <c r="BO977" s="1" t="s">
        <v>74</v>
      </c>
      <c r="BP977" s="1" t="s">
        <v>74</v>
      </c>
      <c r="BQ977" s="1" t="s">
        <v>74</v>
      </c>
      <c r="BR977" s="1" t="s">
        <v>74</v>
      </c>
      <c r="BS977" s="1" t="s">
        <v>9660</v>
      </c>
      <c r="BT977" s="1" t="str">
        <f>HYPERLINK("https%3A%2F%2Fwww.webofscience.com%2Fwos%2Fwoscc%2Ffull-record%2FWOS:001056903500001","View Full Record in Web of Science")</f>
        <v>View Full Record in Web of Science</v>
      </c>
    </row>
    <row r="978" ht="12.75" customHeight="1">
      <c r="A978" s="1" t="s">
        <v>72</v>
      </c>
      <c r="B978" s="1" t="s">
        <v>9661</v>
      </c>
      <c r="C978" s="1" t="s">
        <v>74</v>
      </c>
      <c r="D978" s="1" t="s">
        <v>74</v>
      </c>
      <c r="E978" s="1" t="s">
        <v>74</v>
      </c>
      <c r="F978" s="1" t="s">
        <v>9662</v>
      </c>
      <c r="G978" s="1" t="s">
        <v>74</v>
      </c>
      <c r="H978" s="1" t="s">
        <v>74</v>
      </c>
      <c r="I978" s="1" t="s">
        <v>9663</v>
      </c>
      <c r="J978" s="1" t="s">
        <v>1024</v>
      </c>
      <c r="K978" s="1" t="s">
        <v>74</v>
      </c>
      <c r="L978" s="1" t="s">
        <v>74</v>
      </c>
      <c r="M978" s="1" t="s">
        <v>74</v>
      </c>
      <c r="N978" s="1" t="s">
        <v>74</v>
      </c>
      <c r="O978" s="1" t="s">
        <v>74</v>
      </c>
      <c r="P978" s="1" t="s">
        <v>74</v>
      </c>
      <c r="Q978" s="1" t="s">
        <v>74</v>
      </c>
      <c r="R978" s="1" t="s">
        <v>74</v>
      </c>
      <c r="S978" s="1" t="s">
        <v>74</v>
      </c>
      <c r="T978" s="1" t="s">
        <v>74</v>
      </c>
      <c r="U978" s="1" t="s">
        <v>74</v>
      </c>
      <c r="V978" s="1" t="s">
        <v>9664</v>
      </c>
      <c r="W978" s="1" t="s">
        <v>74</v>
      </c>
      <c r="X978" s="1" t="s">
        <v>74</v>
      </c>
      <c r="Y978" s="1" t="s">
        <v>74</v>
      </c>
      <c r="Z978" s="1" t="s">
        <v>74</v>
      </c>
      <c r="AA978" s="1" t="s">
        <v>9665</v>
      </c>
      <c r="AB978" s="1" t="s">
        <v>9666</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1028</v>
      </c>
      <c r="AP978" s="1" t="s">
        <v>1029</v>
      </c>
      <c r="AQ978" s="1" t="s">
        <v>74</v>
      </c>
      <c r="AR978" s="1" t="s">
        <v>74</v>
      </c>
      <c r="AS978" s="1" t="s">
        <v>74</v>
      </c>
      <c r="AT978" s="1" t="s">
        <v>141</v>
      </c>
      <c r="AU978" s="1">
        <v>2019.0</v>
      </c>
      <c r="AV978" s="1">
        <v>488.0</v>
      </c>
      <c r="AW978" s="1">
        <v>1.0</v>
      </c>
      <c r="AX978" s="1" t="s">
        <v>74</v>
      </c>
      <c r="AY978" s="1" t="s">
        <v>74</v>
      </c>
      <c r="AZ978" s="1" t="s">
        <v>74</v>
      </c>
      <c r="BA978" s="1" t="s">
        <v>74</v>
      </c>
      <c r="BB978" s="1">
        <v>1005.0</v>
      </c>
      <c r="BC978" s="1">
        <v>1011.0</v>
      </c>
      <c r="BD978" s="1" t="s">
        <v>74</v>
      </c>
      <c r="BE978" s="1" t="s">
        <v>9667</v>
      </c>
      <c r="BF978" s="2" t="str">
        <f>HYPERLINK("http://dx.doi.org/10.1093/mnras/stz1775","http://dx.doi.org/10.1093/mnras/stz1775")</f>
        <v>http://dx.doi.org/10.1093/mnras/stz1775</v>
      </c>
      <c r="BG978" s="1" t="s">
        <v>74</v>
      </c>
      <c r="BH978" s="1" t="s">
        <v>74</v>
      </c>
      <c r="BI978" s="1" t="s">
        <v>74</v>
      </c>
      <c r="BJ978" s="1" t="s">
        <v>74</v>
      </c>
      <c r="BK978" s="1" t="s">
        <v>74</v>
      </c>
      <c r="BL978" s="1" t="s">
        <v>74</v>
      </c>
      <c r="BM978" s="1" t="s">
        <v>74</v>
      </c>
      <c r="BN978" s="1" t="s">
        <v>74</v>
      </c>
      <c r="BO978" s="1" t="s">
        <v>74</v>
      </c>
      <c r="BP978" s="1" t="s">
        <v>74</v>
      </c>
      <c r="BQ978" s="1" t="s">
        <v>74</v>
      </c>
      <c r="BR978" s="1" t="s">
        <v>74</v>
      </c>
      <c r="BS978" s="1" t="s">
        <v>9668</v>
      </c>
      <c r="BT978" s="1" t="str">
        <f>HYPERLINK("https%3A%2F%2Fwww.webofscience.com%2Fwos%2Fwoscc%2Ffull-record%2FWOS:000482319700076","View Full Record in Web of Science")</f>
        <v>View Full Record in Web of Science</v>
      </c>
    </row>
    <row r="979" ht="12.75" customHeight="1">
      <c r="A979" s="1" t="s">
        <v>72</v>
      </c>
      <c r="B979" s="1" t="s">
        <v>9669</v>
      </c>
      <c r="C979" s="1" t="s">
        <v>74</v>
      </c>
      <c r="D979" s="1" t="s">
        <v>74</v>
      </c>
      <c r="E979" s="1" t="s">
        <v>74</v>
      </c>
      <c r="F979" s="1" t="s">
        <v>9670</v>
      </c>
      <c r="G979" s="1" t="s">
        <v>74</v>
      </c>
      <c r="H979" s="1" t="s">
        <v>74</v>
      </c>
      <c r="I979" s="1" t="s">
        <v>9671</v>
      </c>
      <c r="J979" s="1" t="s">
        <v>9672</v>
      </c>
      <c r="K979" s="1" t="s">
        <v>74</v>
      </c>
      <c r="L979" s="1" t="s">
        <v>74</v>
      </c>
      <c r="M979" s="1" t="s">
        <v>74</v>
      </c>
      <c r="N979" s="1" t="s">
        <v>74</v>
      </c>
      <c r="O979" s="1" t="s">
        <v>74</v>
      </c>
      <c r="P979" s="1" t="s">
        <v>74</v>
      </c>
      <c r="Q979" s="1" t="s">
        <v>74</v>
      </c>
      <c r="R979" s="1" t="s">
        <v>74</v>
      </c>
      <c r="S979" s="1" t="s">
        <v>74</v>
      </c>
      <c r="T979" s="1" t="s">
        <v>74</v>
      </c>
      <c r="U979" s="1" t="s">
        <v>74</v>
      </c>
      <c r="V979" s="1" t="s">
        <v>9673</v>
      </c>
      <c r="W979" s="1" t="s">
        <v>74</v>
      </c>
      <c r="X979" s="1" t="s">
        <v>74</v>
      </c>
      <c r="Y979" s="1" t="s">
        <v>74</v>
      </c>
      <c r="Z979" s="1" t="s">
        <v>74</v>
      </c>
      <c r="AA979" s="1" t="s">
        <v>9674</v>
      </c>
      <c r="AB979" s="1" t="s">
        <v>9675</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9676</v>
      </c>
      <c r="AP979" s="1" t="s">
        <v>9677</v>
      </c>
      <c r="AQ979" s="1" t="s">
        <v>74</v>
      </c>
      <c r="AR979" s="1" t="s">
        <v>74</v>
      </c>
      <c r="AS979" s="1" t="s">
        <v>74</v>
      </c>
      <c r="AT979" s="1" t="s">
        <v>2198</v>
      </c>
      <c r="AU979" s="1">
        <v>2023.0</v>
      </c>
      <c r="AV979" s="1">
        <v>31.0</v>
      </c>
      <c r="AW979" s="1">
        <v>7.0</v>
      </c>
      <c r="AX979" s="1" t="s">
        <v>74</v>
      </c>
      <c r="AY979" s="1" t="s">
        <v>74</v>
      </c>
      <c r="AZ979" s="1" t="s">
        <v>74</v>
      </c>
      <c r="BA979" s="1" t="s">
        <v>74</v>
      </c>
      <c r="BB979" s="1">
        <v>2240.0</v>
      </c>
      <c r="BC979" s="1">
        <v>2256.0</v>
      </c>
      <c r="BD979" s="1" t="s">
        <v>74</v>
      </c>
      <c r="BE979" s="1" t="s">
        <v>9678</v>
      </c>
      <c r="BF979" s="2" t="str">
        <f>HYPERLINK("http://dx.doi.org/10.1016/j.ymthe.2023.03.028","http://dx.doi.org/10.1016/j.ymthe.2023.03.028")</f>
        <v>http://dx.doi.org/10.1016/j.ymthe.2023.03.028</v>
      </c>
      <c r="BG979" s="1" t="s">
        <v>74</v>
      </c>
      <c r="BH979" s="1" t="s">
        <v>3540</v>
      </c>
      <c r="BI979" s="1" t="s">
        <v>74</v>
      </c>
      <c r="BJ979" s="1" t="s">
        <v>74</v>
      </c>
      <c r="BK979" s="1" t="s">
        <v>74</v>
      </c>
      <c r="BL979" s="1" t="s">
        <v>74</v>
      </c>
      <c r="BM979" s="1" t="s">
        <v>74</v>
      </c>
      <c r="BN979" s="1">
        <v>3.7016577E7</v>
      </c>
      <c r="BO979" s="1" t="s">
        <v>74</v>
      </c>
      <c r="BP979" s="1" t="s">
        <v>74</v>
      </c>
      <c r="BQ979" s="1" t="s">
        <v>74</v>
      </c>
      <c r="BR979" s="1" t="s">
        <v>74</v>
      </c>
      <c r="BS979" s="1" t="s">
        <v>9679</v>
      </c>
      <c r="BT979" s="1" t="str">
        <f>HYPERLINK("https%3A%2F%2Fwww.webofscience.com%2Fwos%2Fwoscc%2Ffull-record%2FWOS:001039997000001","View Full Record in Web of Science")</f>
        <v>View Full Record in Web of Science</v>
      </c>
    </row>
    <row r="980" ht="12.75" customHeight="1">
      <c r="A980" s="1" t="s">
        <v>72</v>
      </c>
      <c r="B980" s="1" t="s">
        <v>9680</v>
      </c>
      <c r="C980" s="1" t="s">
        <v>74</v>
      </c>
      <c r="D980" s="1" t="s">
        <v>74</v>
      </c>
      <c r="E980" s="1" t="s">
        <v>74</v>
      </c>
      <c r="F980" s="1" t="s">
        <v>9681</v>
      </c>
      <c r="G980" s="1" t="s">
        <v>74</v>
      </c>
      <c r="H980" s="1" t="s">
        <v>74</v>
      </c>
      <c r="I980" s="1" t="s">
        <v>9682</v>
      </c>
      <c r="J980" s="1" t="s">
        <v>9683</v>
      </c>
      <c r="K980" s="1" t="s">
        <v>74</v>
      </c>
      <c r="L980" s="1" t="s">
        <v>74</v>
      </c>
      <c r="M980" s="1" t="s">
        <v>74</v>
      </c>
      <c r="N980" s="1" t="s">
        <v>74</v>
      </c>
      <c r="O980" s="1" t="s">
        <v>74</v>
      </c>
      <c r="P980" s="1" t="s">
        <v>74</v>
      </c>
      <c r="Q980" s="1" t="s">
        <v>74</v>
      </c>
      <c r="R980" s="1" t="s">
        <v>74</v>
      </c>
      <c r="S980" s="1" t="s">
        <v>74</v>
      </c>
      <c r="T980" s="1" t="s">
        <v>74</v>
      </c>
      <c r="U980" s="1" t="s">
        <v>74</v>
      </c>
      <c r="V980" s="1" t="s">
        <v>9684</v>
      </c>
      <c r="W980" s="1" t="s">
        <v>74</v>
      </c>
      <c r="X980" s="1" t="s">
        <v>74</v>
      </c>
      <c r="Y980" s="1" t="s">
        <v>74</v>
      </c>
      <c r="Z980" s="1" t="s">
        <v>74</v>
      </c>
      <c r="AA980" s="1" t="s">
        <v>9685</v>
      </c>
      <c r="AB980" s="1" t="s">
        <v>9686</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9687</v>
      </c>
      <c r="AP980" s="1" t="s">
        <v>9688</v>
      </c>
      <c r="AQ980" s="1" t="s">
        <v>74</v>
      </c>
      <c r="AR980" s="1" t="s">
        <v>74</v>
      </c>
      <c r="AS980" s="1" t="s">
        <v>74</v>
      </c>
      <c r="AT980" s="1" t="s">
        <v>264</v>
      </c>
      <c r="AU980" s="1">
        <v>2015.0</v>
      </c>
      <c r="AV980" s="1">
        <v>21.0</v>
      </c>
      <c r="AW980" s="1">
        <v>1.0</v>
      </c>
      <c r="AX980" s="1" t="s">
        <v>74</v>
      </c>
      <c r="AY980" s="1" t="s">
        <v>74</v>
      </c>
      <c r="AZ980" s="1" t="s">
        <v>74</v>
      </c>
      <c r="BA980" s="1" t="s">
        <v>74</v>
      </c>
      <c r="BB980" s="1">
        <v>50.0</v>
      </c>
      <c r="BC980" s="1">
        <v>54.0</v>
      </c>
      <c r="BD980" s="1" t="s">
        <v>74</v>
      </c>
      <c r="BE980" s="1" t="s">
        <v>9689</v>
      </c>
      <c r="BF980" s="2" t="str">
        <f>HYPERLINK("http://dx.doi.org/10.1016/j.parkreldis.2014.10.026","http://dx.doi.org/10.1016/j.parkreldis.2014.10.026")</f>
        <v>http://dx.doi.org/10.1016/j.parkreldis.2014.10.026</v>
      </c>
      <c r="BG980" s="1" t="s">
        <v>74</v>
      </c>
      <c r="BH980" s="1" t="s">
        <v>74</v>
      </c>
      <c r="BI980" s="1" t="s">
        <v>74</v>
      </c>
      <c r="BJ980" s="1" t="s">
        <v>74</v>
      </c>
      <c r="BK980" s="1" t="s">
        <v>74</v>
      </c>
      <c r="BL980" s="1" t="s">
        <v>74</v>
      </c>
      <c r="BM980" s="1" t="s">
        <v>74</v>
      </c>
      <c r="BN980" s="1">
        <v>2.5466406E7</v>
      </c>
      <c r="BO980" s="1" t="s">
        <v>74</v>
      </c>
      <c r="BP980" s="1" t="s">
        <v>74</v>
      </c>
      <c r="BQ980" s="1" t="s">
        <v>74</v>
      </c>
      <c r="BR980" s="1" t="s">
        <v>74</v>
      </c>
      <c r="BS980" s="1" t="s">
        <v>9690</v>
      </c>
      <c r="BT980" s="1" t="str">
        <f>HYPERLINK("https%3A%2F%2Fwww.webofscience.com%2Fwos%2Fwoscc%2Ffull-record%2FWOS:000348259600009","View Full Record in Web of Science")</f>
        <v>View Full Record in Web of Science</v>
      </c>
    </row>
    <row r="981" ht="12.75" customHeight="1">
      <c r="A981" s="1" t="s">
        <v>72</v>
      </c>
      <c r="B981" s="1" t="s">
        <v>9691</v>
      </c>
      <c r="C981" s="1" t="s">
        <v>74</v>
      </c>
      <c r="D981" s="1" t="s">
        <v>74</v>
      </c>
      <c r="E981" s="1" t="s">
        <v>74</v>
      </c>
      <c r="F981" s="1" t="s">
        <v>9692</v>
      </c>
      <c r="G981" s="1" t="s">
        <v>74</v>
      </c>
      <c r="H981" s="1" t="s">
        <v>74</v>
      </c>
      <c r="I981" s="1" t="s">
        <v>9693</v>
      </c>
      <c r="J981" s="1" t="s">
        <v>9694</v>
      </c>
      <c r="K981" s="1" t="s">
        <v>74</v>
      </c>
      <c r="L981" s="1" t="s">
        <v>74</v>
      </c>
      <c r="M981" s="1" t="s">
        <v>74</v>
      </c>
      <c r="N981" s="1" t="s">
        <v>74</v>
      </c>
      <c r="O981" s="1" t="s">
        <v>74</v>
      </c>
      <c r="P981" s="1" t="s">
        <v>74</v>
      </c>
      <c r="Q981" s="1" t="s">
        <v>74</v>
      </c>
      <c r="R981" s="1" t="s">
        <v>74</v>
      </c>
      <c r="S981" s="1" t="s">
        <v>74</v>
      </c>
      <c r="T981" s="1" t="s">
        <v>74</v>
      </c>
      <c r="U981" s="1" t="s">
        <v>74</v>
      </c>
      <c r="V981" s="1" t="s">
        <v>9695</v>
      </c>
      <c r="W981" s="1" t="s">
        <v>74</v>
      </c>
      <c r="X981" s="1" t="s">
        <v>74</v>
      </c>
      <c r="Y981" s="1" t="s">
        <v>74</v>
      </c>
      <c r="Z981" s="1" t="s">
        <v>74</v>
      </c>
      <c r="AA981" s="1" t="s">
        <v>9696</v>
      </c>
      <c r="AB981" s="1" t="s">
        <v>9697</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9698</v>
      </c>
      <c r="AP981" s="1" t="s">
        <v>9699</v>
      </c>
      <c r="AQ981" s="1" t="s">
        <v>74</v>
      </c>
      <c r="AR981" s="1" t="s">
        <v>74</v>
      </c>
      <c r="AS981" s="1" t="s">
        <v>74</v>
      </c>
      <c r="AT981" s="1" t="s">
        <v>141</v>
      </c>
      <c r="AU981" s="1">
        <v>2022.0</v>
      </c>
      <c r="AV981" s="1">
        <v>239.0</v>
      </c>
      <c r="AW981" s="1">
        <v>9.0</v>
      </c>
      <c r="AX981" s="1" t="s">
        <v>74</v>
      </c>
      <c r="AY981" s="1" t="s">
        <v>74</v>
      </c>
      <c r="AZ981" s="1" t="s">
        <v>74</v>
      </c>
      <c r="BA981" s="1" t="s">
        <v>74</v>
      </c>
      <c r="BB981" s="1">
        <v>2841.0</v>
      </c>
      <c r="BC981" s="1">
        <v>2852.0</v>
      </c>
      <c r="BD981" s="1" t="s">
        <v>74</v>
      </c>
      <c r="BE981" s="1" t="s">
        <v>9700</v>
      </c>
      <c r="BF981" s="2" t="str">
        <f>HYPERLINK("http://dx.doi.org/10.1007/s00213-022-06170-0","http://dx.doi.org/10.1007/s00213-022-06170-0")</f>
        <v>http://dx.doi.org/10.1007/s00213-022-06170-0</v>
      </c>
      <c r="BG981" s="1" t="s">
        <v>74</v>
      </c>
      <c r="BH981" s="1" t="s">
        <v>623</v>
      </c>
      <c r="BI981" s="1" t="s">
        <v>74</v>
      </c>
      <c r="BJ981" s="1" t="s">
        <v>74</v>
      </c>
      <c r="BK981" s="1" t="s">
        <v>74</v>
      </c>
      <c r="BL981" s="1" t="s">
        <v>74</v>
      </c>
      <c r="BM981" s="1" t="s">
        <v>74</v>
      </c>
      <c r="BN981" s="1">
        <v>3.5676541E7</v>
      </c>
      <c r="BO981" s="1" t="s">
        <v>74</v>
      </c>
      <c r="BP981" s="1" t="s">
        <v>74</v>
      </c>
      <c r="BQ981" s="1" t="s">
        <v>74</v>
      </c>
      <c r="BR981" s="1" t="s">
        <v>74</v>
      </c>
      <c r="BS981" s="1" t="s">
        <v>9701</v>
      </c>
      <c r="BT981" s="1" t="str">
        <f>HYPERLINK("https%3A%2F%2Fwww.webofscience.com%2Fwos%2Fwoscc%2Ffull-record%2FWOS:000807942300001","View Full Record in Web of Science")</f>
        <v>View Full Record in Web of Science</v>
      </c>
    </row>
    <row r="982" ht="12.75" customHeight="1">
      <c r="A982" s="1" t="s">
        <v>72</v>
      </c>
      <c r="B982" s="1" t="s">
        <v>9702</v>
      </c>
      <c r="C982" s="1" t="s">
        <v>74</v>
      </c>
      <c r="D982" s="1" t="s">
        <v>74</v>
      </c>
      <c r="E982" s="1" t="s">
        <v>74</v>
      </c>
      <c r="F982" s="1" t="s">
        <v>9703</v>
      </c>
      <c r="G982" s="1" t="s">
        <v>74</v>
      </c>
      <c r="H982" s="1" t="s">
        <v>74</v>
      </c>
      <c r="I982" s="1" t="s">
        <v>9704</v>
      </c>
      <c r="J982" s="1" t="s">
        <v>9705</v>
      </c>
      <c r="K982" s="1" t="s">
        <v>74</v>
      </c>
      <c r="L982" s="1" t="s">
        <v>74</v>
      </c>
      <c r="M982" s="1" t="s">
        <v>74</v>
      </c>
      <c r="N982" s="1" t="s">
        <v>74</v>
      </c>
      <c r="O982" s="1" t="s">
        <v>74</v>
      </c>
      <c r="P982" s="1" t="s">
        <v>74</v>
      </c>
      <c r="Q982" s="1" t="s">
        <v>74</v>
      </c>
      <c r="R982" s="1" t="s">
        <v>74</v>
      </c>
      <c r="S982" s="1" t="s">
        <v>74</v>
      </c>
      <c r="T982" s="1" t="s">
        <v>74</v>
      </c>
      <c r="U982" s="1" t="s">
        <v>74</v>
      </c>
      <c r="V982" s="1" t="s">
        <v>9706</v>
      </c>
      <c r="W982" s="1" t="s">
        <v>74</v>
      </c>
      <c r="X982" s="1" t="s">
        <v>74</v>
      </c>
      <c r="Y982" s="1" t="s">
        <v>74</v>
      </c>
      <c r="Z982" s="1" t="s">
        <v>74</v>
      </c>
      <c r="AA982" s="1" t="s">
        <v>9707</v>
      </c>
      <c r="AB982" s="1" t="s">
        <v>9708</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9709</v>
      </c>
      <c r="AP982" s="1" t="s">
        <v>9710</v>
      </c>
      <c r="AQ982" s="1" t="s">
        <v>74</v>
      </c>
      <c r="AR982" s="1" t="s">
        <v>74</v>
      </c>
      <c r="AS982" s="1" t="s">
        <v>74</v>
      </c>
      <c r="AT982" s="1" t="s">
        <v>202</v>
      </c>
      <c r="AU982" s="1">
        <v>2023.0</v>
      </c>
      <c r="AV982" s="1">
        <v>377.0</v>
      </c>
      <c r="AW982" s="1" t="s">
        <v>74</v>
      </c>
      <c r="AX982" s="1" t="s">
        <v>74</v>
      </c>
      <c r="AY982" s="1" t="s">
        <v>74</v>
      </c>
      <c r="AZ982" s="1" t="s">
        <v>74</v>
      </c>
      <c r="BA982" s="1" t="s">
        <v>74</v>
      </c>
      <c r="BB982" s="1" t="s">
        <v>74</v>
      </c>
      <c r="BC982" s="1" t="s">
        <v>74</v>
      </c>
      <c r="BD982" s="1">
        <v>128952.0</v>
      </c>
      <c r="BE982" s="1" t="s">
        <v>9711</v>
      </c>
      <c r="BF982" s="2" t="str">
        <f>HYPERLINK("http://dx.doi.org/10.1016/j.biortech.2023.128952","http://dx.doi.org/10.1016/j.biortech.2023.128952")</f>
        <v>http://dx.doi.org/10.1016/j.biortech.2023.128952</v>
      </c>
      <c r="BG982" s="1" t="s">
        <v>74</v>
      </c>
      <c r="BH982" s="1" t="s">
        <v>8361</v>
      </c>
      <c r="BI982" s="1" t="s">
        <v>74</v>
      </c>
      <c r="BJ982" s="1" t="s">
        <v>74</v>
      </c>
      <c r="BK982" s="1" t="s">
        <v>74</v>
      </c>
      <c r="BL982" s="1" t="s">
        <v>74</v>
      </c>
      <c r="BM982" s="1" t="s">
        <v>74</v>
      </c>
      <c r="BN982" s="1">
        <v>3.6965587E7</v>
      </c>
      <c r="BO982" s="1" t="s">
        <v>74</v>
      </c>
      <c r="BP982" s="1" t="s">
        <v>74</v>
      </c>
      <c r="BQ982" s="1" t="s">
        <v>74</v>
      </c>
      <c r="BR982" s="1" t="s">
        <v>74</v>
      </c>
      <c r="BS982" s="1" t="s">
        <v>9712</v>
      </c>
      <c r="BT982" s="1" t="str">
        <f>HYPERLINK("https%3A%2F%2Fwww.webofscience.com%2Fwos%2Fwoscc%2Ffull-record%2FWOS:001053379700001","View Full Record in Web of Science")</f>
        <v>View Full Record in Web of Science</v>
      </c>
    </row>
    <row r="983" ht="12.75" customHeight="1">
      <c r="A983" s="1" t="s">
        <v>72</v>
      </c>
      <c r="B983" s="1" t="s">
        <v>9713</v>
      </c>
      <c r="C983" s="1" t="s">
        <v>74</v>
      </c>
      <c r="D983" s="1" t="s">
        <v>74</v>
      </c>
      <c r="E983" s="1" t="s">
        <v>74</v>
      </c>
      <c r="F983" s="1" t="s">
        <v>9714</v>
      </c>
      <c r="G983" s="1" t="s">
        <v>74</v>
      </c>
      <c r="H983" s="1" t="s">
        <v>74</v>
      </c>
      <c r="I983" s="1" t="s">
        <v>9715</v>
      </c>
      <c r="J983" s="1" t="s">
        <v>1024</v>
      </c>
      <c r="K983" s="1" t="s">
        <v>74</v>
      </c>
      <c r="L983" s="1" t="s">
        <v>74</v>
      </c>
      <c r="M983" s="1" t="s">
        <v>74</v>
      </c>
      <c r="N983" s="1" t="s">
        <v>74</v>
      </c>
      <c r="O983" s="1" t="s">
        <v>74</v>
      </c>
      <c r="P983" s="1" t="s">
        <v>74</v>
      </c>
      <c r="Q983" s="1" t="s">
        <v>74</v>
      </c>
      <c r="R983" s="1" t="s">
        <v>74</v>
      </c>
      <c r="S983" s="1" t="s">
        <v>74</v>
      </c>
      <c r="T983" s="1" t="s">
        <v>74</v>
      </c>
      <c r="U983" s="1" t="s">
        <v>74</v>
      </c>
      <c r="V983" s="1" t="s">
        <v>9716</v>
      </c>
      <c r="W983" s="1" t="s">
        <v>74</v>
      </c>
      <c r="X983" s="1" t="s">
        <v>74</v>
      </c>
      <c r="Y983" s="1" t="s">
        <v>74</v>
      </c>
      <c r="Z983" s="1" t="s">
        <v>74</v>
      </c>
      <c r="AA983" s="1" t="s">
        <v>9717</v>
      </c>
      <c r="AB983" s="1" t="s">
        <v>9718</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1028</v>
      </c>
      <c r="AP983" s="1" t="s">
        <v>1029</v>
      </c>
      <c r="AQ983" s="1" t="s">
        <v>74</v>
      </c>
      <c r="AR983" s="1" t="s">
        <v>74</v>
      </c>
      <c r="AS983" s="1" t="s">
        <v>74</v>
      </c>
      <c r="AT983" s="1" t="s">
        <v>334</v>
      </c>
      <c r="AU983" s="1">
        <v>2020.0</v>
      </c>
      <c r="AV983" s="1">
        <v>498.0</v>
      </c>
      <c r="AW983" s="1">
        <v>1.0</v>
      </c>
      <c r="AX983" s="1" t="s">
        <v>74</v>
      </c>
      <c r="AY983" s="1" t="s">
        <v>74</v>
      </c>
      <c r="AZ983" s="1" t="s">
        <v>74</v>
      </c>
      <c r="BA983" s="1" t="s">
        <v>74</v>
      </c>
      <c r="BB983" s="1">
        <v>1319.0</v>
      </c>
      <c r="BC983" s="1">
        <v>1334.0</v>
      </c>
      <c r="BD983" s="1" t="s">
        <v>74</v>
      </c>
      <c r="BE983" s="1" t="s">
        <v>9719</v>
      </c>
      <c r="BF983" s="2" t="str">
        <f>HYPERLINK("http://dx.doi.org/10.1093/mnras/staa2386","http://dx.doi.org/10.1093/mnras/staa2386")</f>
        <v>http://dx.doi.org/10.1093/mnras/staa2386</v>
      </c>
      <c r="BG983" s="1" t="s">
        <v>74</v>
      </c>
      <c r="BH983" s="1" t="s">
        <v>74</v>
      </c>
      <c r="BI983" s="1" t="s">
        <v>74</v>
      </c>
      <c r="BJ983" s="1" t="s">
        <v>74</v>
      </c>
      <c r="BK983" s="1" t="s">
        <v>74</v>
      </c>
      <c r="BL983" s="1" t="s">
        <v>74</v>
      </c>
      <c r="BM983" s="1" t="s">
        <v>74</v>
      </c>
      <c r="BN983" s="1" t="s">
        <v>74</v>
      </c>
      <c r="BO983" s="1" t="s">
        <v>74</v>
      </c>
      <c r="BP983" s="1" t="s">
        <v>74</v>
      </c>
      <c r="BQ983" s="1" t="s">
        <v>74</v>
      </c>
      <c r="BR983" s="1" t="s">
        <v>74</v>
      </c>
      <c r="BS983" s="1" t="s">
        <v>9720</v>
      </c>
      <c r="BT983" s="1" t="str">
        <f>HYPERLINK("https%3A%2F%2Fwww.webofscience.com%2Fwos%2Fwoscc%2Ffull-record%2FWOS:000587741300091","View Full Record in Web of Science")</f>
        <v>View Full Record in Web of Science</v>
      </c>
    </row>
    <row r="984" ht="12.75" customHeight="1">
      <c r="A984" s="1" t="s">
        <v>72</v>
      </c>
      <c r="B984" s="1" t="s">
        <v>9721</v>
      </c>
      <c r="C984" s="1" t="s">
        <v>74</v>
      </c>
      <c r="D984" s="1" t="s">
        <v>74</v>
      </c>
      <c r="E984" s="1" t="s">
        <v>74</v>
      </c>
      <c r="F984" s="1" t="s">
        <v>9722</v>
      </c>
      <c r="G984" s="1" t="s">
        <v>74</v>
      </c>
      <c r="H984" s="1" t="s">
        <v>74</v>
      </c>
      <c r="I984" s="1" t="s">
        <v>9723</v>
      </c>
      <c r="J984" s="1" t="s">
        <v>480</v>
      </c>
      <c r="K984" s="1" t="s">
        <v>74</v>
      </c>
      <c r="L984" s="1" t="s">
        <v>74</v>
      </c>
      <c r="M984" s="1" t="s">
        <v>74</v>
      </c>
      <c r="N984" s="1" t="s">
        <v>74</v>
      </c>
      <c r="O984" s="1" t="s">
        <v>74</v>
      </c>
      <c r="P984" s="1" t="s">
        <v>74</v>
      </c>
      <c r="Q984" s="1" t="s">
        <v>74</v>
      </c>
      <c r="R984" s="1" t="s">
        <v>74</v>
      </c>
      <c r="S984" s="1" t="s">
        <v>74</v>
      </c>
      <c r="T984" s="1" t="s">
        <v>74</v>
      </c>
      <c r="U984" s="1" t="s">
        <v>74</v>
      </c>
      <c r="V984" s="1" t="s">
        <v>9724</v>
      </c>
      <c r="W984" s="1" t="s">
        <v>74</v>
      </c>
      <c r="X984" s="1" t="s">
        <v>74</v>
      </c>
      <c r="Y984" s="1" t="s">
        <v>74</v>
      </c>
      <c r="Z984" s="1" t="s">
        <v>74</v>
      </c>
      <c r="AA984" s="1" t="s">
        <v>9725</v>
      </c>
      <c r="AB984" s="1" t="s">
        <v>9726</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484</v>
      </c>
      <c r="AP984" s="1" t="s">
        <v>74</v>
      </c>
      <c r="AQ984" s="1" t="s">
        <v>74</v>
      </c>
      <c r="AR984" s="1" t="s">
        <v>74</v>
      </c>
      <c r="AS984" s="1" t="s">
        <v>74</v>
      </c>
      <c r="AT984" s="1" t="s">
        <v>6113</v>
      </c>
      <c r="AU984" s="1">
        <v>2021.0</v>
      </c>
      <c r="AV984" s="1">
        <v>11.0</v>
      </c>
      <c r="AW984" s="1">
        <v>1.0</v>
      </c>
      <c r="AX984" s="1" t="s">
        <v>74</v>
      </c>
      <c r="AY984" s="1" t="s">
        <v>74</v>
      </c>
      <c r="AZ984" s="1" t="s">
        <v>74</v>
      </c>
      <c r="BA984" s="1" t="s">
        <v>74</v>
      </c>
      <c r="BB984" s="1" t="s">
        <v>74</v>
      </c>
      <c r="BC984" s="1" t="s">
        <v>74</v>
      </c>
      <c r="BD984" s="1">
        <v>3318.0</v>
      </c>
      <c r="BE984" s="1" t="s">
        <v>9727</v>
      </c>
      <c r="BF984" s="2" t="str">
        <f>HYPERLINK("http://dx.doi.org/10.1038/s41598-021-82833-w","http://dx.doi.org/10.1038/s41598-021-82833-w")</f>
        <v>http://dx.doi.org/10.1038/s41598-021-82833-w</v>
      </c>
      <c r="BG984" s="1" t="s">
        <v>74</v>
      </c>
      <c r="BH984" s="1" t="s">
        <v>74</v>
      </c>
      <c r="BI984" s="1" t="s">
        <v>74</v>
      </c>
      <c r="BJ984" s="1" t="s">
        <v>74</v>
      </c>
      <c r="BK984" s="1" t="s">
        <v>74</v>
      </c>
      <c r="BL984" s="1" t="s">
        <v>74</v>
      </c>
      <c r="BM984" s="1" t="s">
        <v>74</v>
      </c>
      <c r="BN984" s="1">
        <v>3.3558635E7</v>
      </c>
      <c r="BO984" s="1" t="s">
        <v>74</v>
      </c>
      <c r="BP984" s="1" t="s">
        <v>74</v>
      </c>
      <c r="BQ984" s="1" t="s">
        <v>74</v>
      </c>
      <c r="BR984" s="1" t="s">
        <v>74</v>
      </c>
      <c r="BS984" s="1" t="s">
        <v>9728</v>
      </c>
      <c r="BT984" s="1" t="str">
        <f>HYPERLINK("https%3A%2F%2Fwww.webofscience.com%2Fwos%2Fwoscc%2Ffull-record%2FWOS:000617646300003","View Full Record in Web of Science")</f>
        <v>View Full Record in Web of Science</v>
      </c>
    </row>
    <row r="985" ht="12.75" customHeight="1">
      <c r="A985" s="1" t="s">
        <v>72</v>
      </c>
      <c r="B985" s="1" t="s">
        <v>9729</v>
      </c>
      <c r="C985" s="1" t="s">
        <v>74</v>
      </c>
      <c r="D985" s="1" t="s">
        <v>74</v>
      </c>
      <c r="E985" s="1" t="s">
        <v>74</v>
      </c>
      <c r="F985" s="1" t="s">
        <v>9730</v>
      </c>
      <c r="G985" s="1" t="s">
        <v>74</v>
      </c>
      <c r="H985" s="1" t="s">
        <v>74</v>
      </c>
      <c r="I985" s="1" t="s">
        <v>9731</v>
      </c>
      <c r="J985" s="1" t="s">
        <v>6628</v>
      </c>
      <c r="K985" s="1" t="s">
        <v>74</v>
      </c>
      <c r="L985" s="1" t="s">
        <v>74</v>
      </c>
      <c r="M985" s="1" t="s">
        <v>74</v>
      </c>
      <c r="N985" s="1" t="s">
        <v>74</v>
      </c>
      <c r="O985" s="1" t="s">
        <v>74</v>
      </c>
      <c r="P985" s="1" t="s">
        <v>74</v>
      </c>
      <c r="Q985" s="1" t="s">
        <v>74</v>
      </c>
      <c r="R985" s="1" t="s">
        <v>74</v>
      </c>
      <c r="S985" s="1" t="s">
        <v>74</v>
      </c>
      <c r="T985" s="1" t="s">
        <v>74</v>
      </c>
      <c r="U985" s="1" t="s">
        <v>74</v>
      </c>
      <c r="V985" s="1" t="s">
        <v>9732</v>
      </c>
      <c r="W985" s="1" t="s">
        <v>74</v>
      </c>
      <c r="X985" s="1" t="s">
        <v>74</v>
      </c>
      <c r="Y985" s="1" t="s">
        <v>74</v>
      </c>
      <c r="Z985" s="1" t="s">
        <v>74</v>
      </c>
      <c r="AA985" s="1" t="s">
        <v>9733</v>
      </c>
      <c r="AB985" s="1" t="s">
        <v>9734</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6632</v>
      </c>
      <c r="AP985" s="1" t="s">
        <v>6633</v>
      </c>
      <c r="AQ985" s="1" t="s">
        <v>74</v>
      </c>
      <c r="AR985" s="1" t="s">
        <v>74</v>
      </c>
      <c r="AS985" s="1" t="s">
        <v>74</v>
      </c>
      <c r="AT985" s="1" t="s">
        <v>9538</v>
      </c>
      <c r="AU985" s="1">
        <v>2020.0</v>
      </c>
      <c r="AV985" s="1">
        <v>889.0</v>
      </c>
      <c r="AW985" s="1">
        <v>1.0</v>
      </c>
      <c r="AX985" s="1" t="s">
        <v>74</v>
      </c>
      <c r="AY985" s="1" t="s">
        <v>74</v>
      </c>
      <c r="AZ985" s="1" t="s">
        <v>74</v>
      </c>
      <c r="BA985" s="1" t="s">
        <v>74</v>
      </c>
      <c r="BB985" s="1" t="s">
        <v>74</v>
      </c>
      <c r="BC985" s="1" t="s">
        <v>74</v>
      </c>
      <c r="BD985" s="1" t="s">
        <v>9735</v>
      </c>
      <c r="BE985" s="1" t="s">
        <v>9736</v>
      </c>
      <c r="BF985" s="2" t="str">
        <f>HYPERLINK("http://dx.doi.org/10.3847/2041-8213/ab6b2b","http://dx.doi.org/10.3847/2041-8213/ab6b2b")</f>
        <v>http://dx.doi.org/10.3847/2041-8213/ab6b2b</v>
      </c>
      <c r="BG985" s="1" t="s">
        <v>74</v>
      </c>
      <c r="BH985" s="1" t="s">
        <v>74</v>
      </c>
      <c r="BI985" s="1" t="s">
        <v>74</v>
      </c>
      <c r="BJ985" s="1" t="s">
        <v>74</v>
      </c>
      <c r="BK985" s="1" t="s">
        <v>74</v>
      </c>
      <c r="BL985" s="1" t="s">
        <v>74</v>
      </c>
      <c r="BM985" s="1" t="s">
        <v>74</v>
      </c>
      <c r="BN985" s="1" t="s">
        <v>74</v>
      </c>
      <c r="BO985" s="1" t="s">
        <v>74</v>
      </c>
      <c r="BP985" s="1" t="s">
        <v>74</v>
      </c>
      <c r="BQ985" s="1" t="s">
        <v>74</v>
      </c>
      <c r="BR985" s="1" t="s">
        <v>74</v>
      </c>
      <c r="BS985" s="1" t="s">
        <v>9737</v>
      </c>
      <c r="BT985" s="1" t="str">
        <f>HYPERLINK("https%3A%2F%2Fwww.webofscience.com%2Fwos%2Fwoscc%2Ffull-record%2FWOS:000520444000001","View Full Record in Web of Science")</f>
        <v>View Full Record in Web of Science</v>
      </c>
    </row>
    <row r="986" ht="12.75" customHeight="1">
      <c r="A986" s="1" t="s">
        <v>72</v>
      </c>
      <c r="B986" s="1" t="s">
        <v>9738</v>
      </c>
      <c r="C986" s="1" t="s">
        <v>74</v>
      </c>
      <c r="D986" s="1" t="s">
        <v>74</v>
      </c>
      <c r="E986" s="1" t="s">
        <v>74</v>
      </c>
      <c r="F986" s="1" t="s">
        <v>9739</v>
      </c>
      <c r="G986" s="1" t="s">
        <v>74</v>
      </c>
      <c r="H986" s="1" t="s">
        <v>74</v>
      </c>
      <c r="I986" s="1" t="s">
        <v>9740</v>
      </c>
      <c r="J986" s="1" t="s">
        <v>9741</v>
      </c>
      <c r="K986" s="1" t="s">
        <v>74</v>
      </c>
      <c r="L986" s="1" t="s">
        <v>74</v>
      </c>
      <c r="M986" s="1" t="s">
        <v>74</v>
      </c>
      <c r="N986" s="1" t="s">
        <v>74</v>
      </c>
      <c r="O986" s="1" t="s">
        <v>74</v>
      </c>
      <c r="P986" s="1" t="s">
        <v>74</v>
      </c>
      <c r="Q986" s="1" t="s">
        <v>74</v>
      </c>
      <c r="R986" s="1" t="s">
        <v>74</v>
      </c>
      <c r="S986" s="1" t="s">
        <v>74</v>
      </c>
      <c r="T986" s="1" t="s">
        <v>74</v>
      </c>
      <c r="U986" s="1" t="s">
        <v>74</v>
      </c>
      <c r="V986" s="1" t="s">
        <v>9742</v>
      </c>
      <c r="W986" s="1" t="s">
        <v>74</v>
      </c>
      <c r="X986" s="1" t="s">
        <v>74</v>
      </c>
      <c r="Y986" s="1" t="s">
        <v>74</v>
      </c>
      <c r="Z986" s="1" t="s">
        <v>74</v>
      </c>
      <c r="AA986" s="1" t="s">
        <v>9743</v>
      </c>
      <c r="AB986" s="1" t="s">
        <v>9744</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9745</v>
      </c>
      <c r="AP986" s="1" t="s">
        <v>9746</v>
      </c>
      <c r="AQ986" s="1" t="s">
        <v>74</v>
      </c>
      <c r="AR986" s="1" t="s">
        <v>74</v>
      </c>
      <c r="AS986" s="1" t="s">
        <v>74</v>
      </c>
      <c r="AT986" s="1" t="s">
        <v>74</v>
      </c>
      <c r="AU986" s="1">
        <v>2018.0</v>
      </c>
      <c r="AV986" s="1">
        <v>424.0</v>
      </c>
      <c r="AW986" s="1" t="s">
        <v>74</v>
      </c>
      <c r="AX986" s="1" t="s">
        <v>74</v>
      </c>
      <c r="AY986" s="1" t="s">
        <v>74</v>
      </c>
      <c r="AZ986" s="1" t="s">
        <v>74</v>
      </c>
      <c r="BA986" s="1" t="s">
        <v>74</v>
      </c>
      <c r="BB986" s="1">
        <v>46.0</v>
      </c>
      <c r="BC986" s="1">
        <v>69.0</v>
      </c>
      <c r="BD986" s="1" t="s">
        <v>74</v>
      </c>
      <c r="BE986" s="1" t="s">
        <v>9747</v>
      </c>
      <c r="BF986" s="2" t="str">
        <f>HYPERLINK("http://dx.doi.org/10.1016/j.canlet.2018.02.030","http://dx.doi.org/10.1016/j.canlet.2018.02.030")</f>
        <v>http://dx.doi.org/10.1016/j.canlet.2018.02.030</v>
      </c>
      <c r="BG986" s="1" t="s">
        <v>74</v>
      </c>
      <c r="BH986" s="1" t="s">
        <v>74</v>
      </c>
      <c r="BI986" s="1" t="s">
        <v>74</v>
      </c>
      <c r="BJ986" s="1" t="s">
        <v>74</v>
      </c>
      <c r="BK986" s="1" t="s">
        <v>74</v>
      </c>
      <c r="BL986" s="1" t="s">
        <v>74</v>
      </c>
      <c r="BM986" s="1" t="s">
        <v>74</v>
      </c>
      <c r="BN986" s="1">
        <v>2.9474859E7</v>
      </c>
      <c r="BO986" s="1" t="s">
        <v>74</v>
      </c>
      <c r="BP986" s="1" t="s">
        <v>74</v>
      </c>
      <c r="BQ986" s="1" t="s">
        <v>74</v>
      </c>
      <c r="BR986" s="1" t="s">
        <v>74</v>
      </c>
      <c r="BS986" s="1" t="s">
        <v>9748</v>
      </c>
      <c r="BT986" s="1" t="str">
        <f>HYPERLINK("https%3A%2F%2Fwww.webofscience.com%2Fwos%2Fwoscc%2Ffull-record%2FWOS:000436214400005","View Full Record in Web of Science")</f>
        <v>View Full Record in Web of Science</v>
      </c>
    </row>
    <row r="987" ht="12.75" customHeight="1">
      <c r="A987" s="1" t="s">
        <v>72</v>
      </c>
      <c r="B987" s="1" t="s">
        <v>9749</v>
      </c>
      <c r="C987" s="1" t="s">
        <v>74</v>
      </c>
      <c r="D987" s="1" t="s">
        <v>74</v>
      </c>
      <c r="E987" s="1" t="s">
        <v>74</v>
      </c>
      <c r="F987" s="1" t="s">
        <v>9750</v>
      </c>
      <c r="G987" s="1" t="s">
        <v>74</v>
      </c>
      <c r="H987" s="1" t="s">
        <v>74</v>
      </c>
      <c r="I987" s="1" t="s">
        <v>9751</v>
      </c>
      <c r="J987" s="1" t="s">
        <v>9752</v>
      </c>
      <c r="K987" s="1" t="s">
        <v>74</v>
      </c>
      <c r="L987" s="1" t="s">
        <v>74</v>
      </c>
      <c r="M987" s="1" t="s">
        <v>74</v>
      </c>
      <c r="N987" s="1" t="s">
        <v>74</v>
      </c>
      <c r="O987" s="1" t="s">
        <v>74</v>
      </c>
      <c r="P987" s="1" t="s">
        <v>74</v>
      </c>
      <c r="Q987" s="1" t="s">
        <v>74</v>
      </c>
      <c r="R987" s="1" t="s">
        <v>74</v>
      </c>
      <c r="S987" s="1" t="s">
        <v>74</v>
      </c>
      <c r="T987" s="1" t="s">
        <v>74</v>
      </c>
      <c r="U987" s="1" t="s">
        <v>74</v>
      </c>
      <c r="V987" s="1" t="s">
        <v>9753</v>
      </c>
      <c r="W987" s="1" t="s">
        <v>74</v>
      </c>
      <c r="X987" s="1" t="s">
        <v>74</v>
      </c>
      <c r="Y987" s="1" t="s">
        <v>74</v>
      </c>
      <c r="Z987" s="1" t="s">
        <v>74</v>
      </c>
      <c r="AA987" s="1" t="s">
        <v>9754</v>
      </c>
      <c r="AB987" s="1" t="s">
        <v>9755</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9756</v>
      </c>
      <c r="AP987" s="1" t="s">
        <v>74</v>
      </c>
      <c r="AQ987" s="1" t="s">
        <v>74</v>
      </c>
      <c r="AR987" s="1" t="s">
        <v>74</v>
      </c>
      <c r="AS987" s="1" t="s">
        <v>74</v>
      </c>
      <c r="AT987" s="1" t="s">
        <v>9757</v>
      </c>
      <c r="AU987" s="1">
        <v>2024.0</v>
      </c>
      <c r="AV987" s="1">
        <v>11.0</v>
      </c>
      <c r="AW987" s="1">
        <v>1.0</v>
      </c>
      <c r="AX987" s="1" t="s">
        <v>74</v>
      </c>
      <c r="AY987" s="1" t="s">
        <v>74</v>
      </c>
      <c r="AZ987" s="1" t="s">
        <v>74</v>
      </c>
      <c r="BA987" s="1" t="s">
        <v>74</v>
      </c>
      <c r="BB987" s="1" t="s">
        <v>74</v>
      </c>
      <c r="BC987" s="1" t="s">
        <v>74</v>
      </c>
      <c r="BD987" s="1" t="s">
        <v>9758</v>
      </c>
      <c r="BE987" s="1" t="s">
        <v>9759</v>
      </c>
      <c r="BF987" s="2" t="str">
        <f>HYPERLINK("http://dx.doi.org/10.1136/bmjgast-2024-001457","http://dx.doi.org/10.1136/bmjgast-2024-001457")</f>
        <v>http://dx.doi.org/10.1136/bmjgast-2024-001457</v>
      </c>
      <c r="BG987" s="1" t="s">
        <v>74</v>
      </c>
      <c r="BH987" s="1" t="s">
        <v>74</v>
      </c>
      <c r="BI987" s="1" t="s">
        <v>74</v>
      </c>
      <c r="BJ987" s="1" t="s">
        <v>74</v>
      </c>
      <c r="BK987" s="1" t="s">
        <v>74</v>
      </c>
      <c r="BL987" s="1" t="s">
        <v>74</v>
      </c>
      <c r="BM987" s="1" t="s">
        <v>74</v>
      </c>
      <c r="BN987" s="1">
        <v>3.9343441E7</v>
      </c>
      <c r="BO987" s="1" t="s">
        <v>74</v>
      </c>
      <c r="BP987" s="1" t="s">
        <v>74</v>
      </c>
      <c r="BQ987" s="1" t="s">
        <v>74</v>
      </c>
      <c r="BR987" s="1" t="s">
        <v>74</v>
      </c>
      <c r="BS987" s="1" t="s">
        <v>9760</v>
      </c>
      <c r="BT987" s="1" t="str">
        <f>HYPERLINK("https%3A%2F%2Fwww.webofscience.com%2Fwos%2Fwoscc%2Ffull-record%2FWOS:001325110500001","View Full Record in Web of Science")</f>
        <v>View Full Record in Web of Science</v>
      </c>
    </row>
    <row r="988" ht="12.75" customHeight="1">
      <c r="A988" s="1" t="s">
        <v>72</v>
      </c>
      <c r="B988" s="1" t="s">
        <v>9761</v>
      </c>
      <c r="C988" s="1" t="s">
        <v>74</v>
      </c>
      <c r="D988" s="1" t="s">
        <v>74</v>
      </c>
      <c r="E988" s="1" t="s">
        <v>74</v>
      </c>
      <c r="F988" s="1" t="s">
        <v>9762</v>
      </c>
      <c r="G988" s="1" t="s">
        <v>74</v>
      </c>
      <c r="H988" s="1" t="s">
        <v>74</v>
      </c>
      <c r="I988" s="1" t="s">
        <v>9763</v>
      </c>
      <c r="J988" s="1" t="s">
        <v>1441</v>
      </c>
      <c r="K988" s="1" t="s">
        <v>74</v>
      </c>
      <c r="L988" s="1" t="s">
        <v>74</v>
      </c>
      <c r="M988" s="1" t="s">
        <v>74</v>
      </c>
      <c r="N988" s="1" t="s">
        <v>74</v>
      </c>
      <c r="O988" s="1" t="s">
        <v>74</v>
      </c>
      <c r="P988" s="1" t="s">
        <v>74</v>
      </c>
      <c r="Q988" s="1" t="s">
        <v>74</v>
      </c>
      <c r="R988" s="1" t="s">
        <v>74</v>
      </c>
      <c r="S988" s="1" t="s">
        <v>74</v>
      </c>
      <c r="T988" s="1" t="s">
        <v>74</v>
      </c>
      <c r="U988" s="1" t="s">
        <v>74</v>
      </c>
      <c r="V988" s="1" t="s">
        <v>9764</v>
      </c>
      <c r="W988" s="1" t="s">
        <v>74</v>
      </c>
      <c r="X988" s="1" t="s">
        <v>74</v>
      </c>
      <c r="Y988" s="1" t="s">
        <v>74</v>
      </c>
      <c r="Z988" s="1" t="s">
        <v>74</v>
      </c>
      <c r="AA988" s="1" t="s">
        <v>9765</v>
      </c>
      <c r="AB988" s="1" t="s">
        <v>9766</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1445</v>
      </c>
      <c r="AP988" s="1" t="s">
        <v>1446</v>
      </c>
      <c r="AQ988" s="1" t="s">
        <v>74</v>
      </c>
      <c r="AR988" s="1" t="s">
        <v>74</v>
      </c>
      <c r="AS988" s="1" t="s">
        <v>74</v>
      </c>
      <c r="AT988" s="1" t="s">
        <v>6207</v>
      </c>
      <c r="AU988" s="1">
        <v>2022.0</v>
      </c>
      <c r="AV988" s="1">
        <v>930.0</v>
      </c>
      <c r="AW988" s="1">
        <v>2.0</v>
      </c>
      <c r="AX988" s="1" t="s">
        <v>74</v>
      </c>
      <c r="AY988" s="1" t="s">
        <v>74</v>
      </c>
      <c r="AZ988" s="1" t="s">
        <v>74</v>
      </c>
      <c r="BA988" s="1" t="s">
        <v>74</v>
      </c>
      <c r="BB988" s="1" t="s">
        <v>74</v>
      </c>
      <c r="BC988" s="1" t="s">
        <v>74</v>
      </c>
      <c r="BD988" s="1">
        <v>158.0</v>
      </c>
      <c r="BE988" s="1" t="s">
        <v>9767</v>
      </c>
      <c r="BF988" s="2" t="str">
        <f>HYPERLINK("http://dx.doi.org/10.3847/1538-4357/ac66e4","http://dx.doi.org/10.3847/1538-4357/ac66e4")</f>
        <v>http://dx.doi.org/10.3847/1538-4357/ac66e4</v>
      </c>
      <c r="BG988" s="1" t="s">
        <v>74</v>
      </c>
      <c r="BH988" s="1" t="s">
        <v>74</v>
      </c>
      <c r="BI988" s="1" t="s">
        <v>74</v>
      </c>
      <c r="BJ988" s="1" t="s">
        <v>74</v>
      </c>
      <c r="BK988" s="1" t="s">
        <v>74</v>
      </c>
      <c r="BL988" s="1" t="s">
        <v>74</v>
      </c>
      <c r="BM988" s="1" t="s">
        <v>74</v>
      </c>
      <c r="BN988" s="1" t="s">
        <v>74</v>
      </c>
      <c r="BO988" s="1" t="s">
        <v>74</v>
      </c>
      <c r="BP988" s="1" t="s">
        <v>74</v>
      </c>
      <c r="BQ988" s="1" t="s">
        <v>74</v>
      </c>
      <c r="BR988" s="1" t="s">
        <v>74</v>
      </c>
      <c r="BS988" s="1" t="s">
        <v>9768</v>
      </c>
      <c r="BT988" s="1" t="str">
        <f>HYPERLINK("https%3A%2F%2Fwww.webofscience.com%2Fwos%2Fwoscc%2Ffull-record%2FWOS:000796728900001","View Full Record in Web of Science")</f>
        <v>View Full Record in Web of Science</v>
      </c>
    </row>
    <row r="989" ht="12.75" customHeight="1">
      <c r="A989" s="1" t="s">
        <v>72</v>
      </c>
      <c r="B989" s="1" t="s">
        <v>9769</v>
      </c>
      <c r="C989" s="1" t="s">
        <v>74</v>
      </c>
      <c r="D989" s="1" t="s">
        <v>74</v>
      </c>
      <c r="E989" s="1" t="s">
        <v>74</v>
      </c>
      <c r="F989" s="1" t="s">
        <v>9770</v>
      </c>
      <c r="G989" s="1" t="s">
        <v>74</v>
      </c>
      <c r="H989" s="1" t="s">
        <v>9771</v>
      </c>
      <c r="I989" s="1" t="s">
        <v>9772</v>
      </c>
      <c r="J989" s="1" t="s">
        <v>9773</v>
      </c>
      <c r="K989" s="1" t="s">
        <v>74</v>
      </c>
      <c r="L989" s="1" t="s">
        <v>74</v>
      </c>
      <c r="M989" s="1" t="s">
        <v>74</v>
      </c>
      <c r="N989" s="1" t="s">
        <v>74</v>
      </c>
      <c r="O989" s="1" t="s">
        <v>74</v>
      </c>
      <c r="P989" s="1" t="s">
        <v>74</v>
      </c>
      <c r="Q989" s="1" t="s">
        <v>74</v>
      </c>
      <c r="R989" s="1" t="s">
        <v>74</v>
      </c>
      <c r="S989" s="1" t="s">
        <v>74</v>
      </c>
      <c r="T989" s="1" t="s">
        <v>74</v>
      </c>
      <c r="U989" s="1" t="s">
        <v>74</v>
      </c>
      <c r="V989" s="1" t="s">
        <v>9774</v>
      </c>
      <c r="W989" s="1" t="s">
        <v>74</v>
      </c>
      <c r="X989" s="1" t="s">
        <v>74</v>
      </c>
      <c r="Y989" s="1" t="s">
        <v>74</v>
      </c>
      <c r="Z989" s="1" t="s">
        <v>74</v>
      </c>
      <c r="AA989" s="1" t="s">
        <v>9775</v>
      </c>
      <c r="AB989" s="1" t="s">
        <v>9776</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9777</v>
      </c>
      <c r="AP989" s="1" t="s">
        <v>9778</v>
      </c>
      <c r="AQ989" s="1" t="s">
        <v>74</v>
      </c>
      <c r="AR989" s="1" t="s">
        <v>74</v>
      </c>
      <c r="AS989" s="1" t="s">
        <v>74</v>
      </c>
      <c r="AT989" s="1" t="s">
        <v>264</v>
      </c>
      <c r="AU989" s="1">
        <v>2015.0</v>
      </c>
      <c r="AV989" s="1">
        <v>45.0</v>
      </c>
      <c r="AW989" s="1">
        <v>1.0</v>
      </c>
      <c r="AX989" s="1" t="s">
        <v>74</v>
      </c>
      <c r="AY989" s="1" t="s">
        <v>74</v>
      </c>
      <c r="AZ989" s="1" t="s">
        <v>74</v>
      </c>
      <c r="BA989" s="1" t="s">
        <v>74</v>
      </c>
      <c r="BB989" s="1">
        <v>126.0</v>
      </c>
      <c r="BC989" s="1">
        <v>136.0</v>
      </c>
      <c r="BD989" s="1" t="s">
        <v>74</v>
      </c>
      <c r="BE989" s="1" t="s">
        <v>9779</v>
      </c>
      <c r="BF989" s="2" t="str">
        <f>HYPERLINK("http://dx.doi.org/10.1111/cea.12349","http://dx.doi.org/10.1111/cea.12349")</f>
        <v>http://dx.doi.org/10.1111/cea.12349</v>
      </c>
      <c r="BG989" s="1" t="s">
        <v>74</v>
      </c>
      <c r="BH989" s="1" t="s">
        <v>74</v>
      </c>
      <c r="BI989" s="1" t="s">
        <v>74</v>
      </c>
      <c r="BJ989" s="1" t="s">
        <v>74</v>
      </c>
      <c r="BK989" s="1" t="s">
        <v>74</v>
      </c>
      <c r="BL989" s="1" t="s">
        <v>74</v>
      </c>
      <c r="BM989" s="1" t="s">
        <v>74</v>
      </c>
      <c r="BN989" s="1">
        <v>2.4912652E7</v>
      </c>
      <c r="BO989" s="1" t="s">
        <v>74</v>
      </c>
      <c r="BP989" s="1" t="s">
        <v>74</v>
      </c>
      <c r="BQ989" s="1" t="s">
        <v>74</v>
      </c>
      <c r="BR989" s="1" t="s">
        <v>74</v>
      </c>
      <c r="BS989" s="1" t="s">
        <v>9780</v>
      </c>
      <c r="BT989" s="1" t="str">
        <f>HYPERLINK("https%3A%2F%2Fwww.webofscience.com%2Fwos%2Fwoscc%2Ffull-record%2FWOS:000346910800015","View Full Record in Web of Science")</f>
        <v>View Full Record in Web of Science</v>
      </c>
    </row>
    <row r="990" ht="12.75" customHeight="1">
      <c r="A990" s="1" t="s">
        <v>72</v>
      </c>
      <c r="B990" s="1" t="s">
        <v>9781</v>
      </c>
      <c r="C990" s="1" t="s">
        <v>74</v>
      </c>
      <c r="D990" s="1" t="s">
        <v>74</v>
      </c>
      <c r="E990" s="1" t="s">
        <v>74</v>
      </c>
      <c r="F990" s="1" t="s">
        <v>9782</v>
      </c>
      <c r="G990" s="1" t="s">
        <v>74</v>
      </c>
      <c r="H990" s="1" t="s">
        <v>74</v>
      </c>
      <c r="I990" s="1" t="s">
        <v>9783</v>
      </c>
      <c r="J990" s="1" t="s">
        <v>5113</v>
      </c>
      <c r="K990" s="1" t="s">
        <v>74</v>
      </c>
      <c r="L990" s="1" t="s">
        <v>74</v>
      </c>
      <c r="M990" s="1" t="s">
        <v>74</v>
      </c>
      <c r="N990" s="1" t="s">
        <v>74</v>
      </c>
      <c r="O990" s="1" t="s">
        <v>74</v>
      </c>
      <c r="P990" s="1" t="s">
        <v>74</v>
      </c>
      <c r="Q990" s="1" t="s">
        <v>74</v>
      </c>
      <c r="R990" s="1" t="s">
        <v>74</v>
      </c>
      <c r="S990" s="1" t="s">
        <v>74</v>
      </c>
      <c r="T990" s="1" t="s">
        <v>74</v>
      </c>
      <c r="U990" s="1" t="s">
        <v>74</v>
      </c>
      <c r="V990" s="1" t="s">
        <v>9784</v>
      </c>
      <c r="W990" s="1" t="s">
        <v>74</v>
      </c>
      <c r="X990" s="1" t="s">
        <v>74</v>
      </c>
      <c r="Y990" s="1" t="s">
        <v>74</v>
      </c>
      <c r="Z990" s="1" t="s">
        <v>74</v>
      </c>
      <c r="AA990" s="1" t="s">
        <v>9785</v>
      </c>
      <c r="AB990" s="1" t="s">
        <v>9786</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5116</v>
      </c>
      <c r="AP990" s="1" t="s">
        <v>74</v>
      </c>
      <c r="AQ990" s="1" t="s">
        <v>74</v>
      </c>
      <c r="AR990" s="1" t="s">
        <v>74</v>
      </c>
      <c r="AS990" s="1" t="s">
        <v>74</v>
      </c>
      <c r="AT990" s="1" t="s">
        <v>4647</v>
      </c>
      <c r="AU990" s="1">
        <v>2022.0</v>
      </c>
      <c r="AV990" s="1">
        <v>9.0</v>
      </c>
      <c r="AW990" s="1" t="s">
        <v>74</v>
      </c>
      <c r="AX990" s="1" t="s">
        <v>74</v>
      </c>
      <c r="AY990" s="1" t="s">
        <v>74</v>
      </c>
      <c r="AZ990" s="1" t="s">
        <v>74</v>
      </c>
      <c r="BA990" s="1" t="s">
        <v>74</v>
      </c>
      <c r="BB990" s="1" t="s">
        <v>74</v>
      </c>
      <c r="BC990" s="1" t="s">
        <v>74</v>
      </c>
      <c r="BD990" s="1">
        <v>1021910.0</v>
      </c>
      <c r="BE990" s="1" t="s">
        <v>9787</v>
      </c>
      <c r="BF990" s="2" t="str">
        <f>HYPERLINK("http://dx.doi.org/10.3389/fspas.2022.1021910","http://dx.doi.org/10.3389/fspas.2022.1021910")</f>
        <v>http://dx.doi.org/10.3389/fspas.2022.1021910</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9788</v>
      </c>
      <c r="BT990" s="1" t="str">
        <f>HYPERLINK("https%3A%2F%2Fwww.webofscience.com%2Fwos%2Fwoscc%2Ffull-record%2FWOS:000906418100001","View Full Record in Web of Science")</f>
        <v>View Full Record in Web of Science</v>
      </c>
    </row>
    <row r="991" ht="12.75" customHeight="1">
      <c r="A991" s="1" t="s">
        <v>72</v>
      </c>
      <c r="B991" s="1" t="s">
        <v>9789</v>
      </c>
      <c r="C991" s="1" t="s">
        <v>74</v>
      </c>
      <c r="D991" s="1" t="s">
        <v>74</v>
      </c>
      <c r="E991" s="1" t="s">
        <v>74</v>
      </c>
      <c r="F991" s="1" t="s">
        <v>9790</v>
      </c>
      <c r="G991" s="1" t="s">
        <v>74</v>
      </c>
      <c r="H991" s="1" t="s">
        <v>74</v>
      </c>
      <c r="I991" s="1" t="s">
        <v>9791</v>
      </c>
      <c r="J991" s="1" t="s">
        <v>9792</v>
      </c>
      <c r="K991" s="1" t="s">
        <v>74</v>
      </c>
      <c r="L991" s="1" t="s">
        <v>74</v>
      </c>
      <c r="M991" s="1" t="s">
        <v>74</v>
      </c>
      <c r="N991" s="1" t="s">
        <v>74</v>
      </c>
      <c r="O991" s="1" t="s">
        <v>74</v>
      </c>
      <c r="P991" s="1" t="s">
        <v>74</v>
      </c>
      <c r="Q991" s="1" t="s">
        <v>74</v>
      </c>
      <c r="R991" s="1" t="s">
        <v>74</v>
      </c>
      <c r="S991" s="1" t="s">
        <v>74</v>
      </c>
      <c r="T991" s="1" t="s">
        <v>74</v>
      </c>
      <c r="U991" s="1" t="s">
        <v>74</v>
      </c>
      <c r="V991" s="1" t="s">
        <v>9793</v>
      </c>
      <c r="W991" s="1" t="s">
        <v>74</v>
      </c>
      <c r="X991" s="1" t="s">
        <v>74</v>
      </c>
      <c r="Y991" s="1" t="s">
        <v>74</v>
      </c>
      <c r="Z991" s="1" t="s">
        <v>74</v>
      </c>
      <c r="AA991" s="1" t="s">
        <v>9794</v>
      </c>
      <c r="AB991" s="1" t="s">
        <v>9795</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74</v>
      </c>
      <c r="AP991" s="1" t="s">
        <v>9796</v>
      </c>
      <c r="AQ991" s="1" t="s">
        <v>74</v>
      </c>
      <c r="AR991" s="1" t="s">
        <v>74</v>
      </c>
      <c r="AS991" s="1" t="s">
        <v>74</v>
      </c>
      <c r="AT991" s="1" t="s">
        <v>74</v>
      </c>
      <c r="AU991" s="1">
        <v>2022.0</v>
      </c>
      <c r="AV991" s="1">
        <v>14.0</v>
      </c>
      <c r="AW991" s="1">
        <v>1.0</v>
      </c>
      <c r="AX991" s="1" t="s">
        <v>74</v>
      </c>
      <c r="AY991" s="1" t="s">
        <v>74</v>
      </c>
      <c r="AZ991" s="1" t="s">
        <v>74</v>
      </c>
      <c r="BA991" s="1" t="s">
        <v>74</v>
      </c>
      <c r="BB991" s="1" t="s">
        <v>74</v>
      </c>
      <c r="BC991" s="1" t="s">
        <v>74</v>
      </c>
      <c r="BD991" s="1" t="s">
        <v>74</v>
      </c>
      <c r="BE991" s="1" t="s">
        <v>9797</v>
      </c>
      <c r="BF991" s="2" t="str">
        <f>HYPERLINK("http://dx.doi.org/10.1002/dad2.12276","http://dx.doi.org/10.1002/dad2.12276")</f>
        <v>http://dx.doi.org/10.1002/dad2.12276</v>
      </c>
      <c r="BG991" s="1" t="s">
        <v>74</v>
      </c>
      <c r="BH991" s="1" t="s">
        <v>74</v>
      </c>
      <c r="BI991" s="1" t="s">
        <v>74</v>
      </c>
      <c r="BJ991" s="1" t="s">
        <v>74</v>
      </c>
      <c r="BK991" s="1" t="s">
        <v>74</v>
      </c>
      <c r="BL991" s="1" t="s">
        <v>74</v>
      </c>
      <c r="BM991" s="1" t="s">
        <v>74</v>
      </c>
      <c r="BN991" s="1">
        <v>3.5059492E7</v>
      </c>
      <c r="BO991" s="1" t="s">
        <v>74</v>
      </c>
      <c r="BP991" s="1" t="s">
        <v>74</v>
      </c>
      <c r="BQ991" s="1" t="s">
        <v>74</v>
      </c>
      <c r="BR991" s="1" t="s">
        <v>74</v>
      </c>
      <c r="BS991" s="1" t="s">
        <v>9798</v>
      </c>
      <c r="BT991" s="1" t="str">
        <f>HYPERLINK("https%3A%2F%2Fwww.webofscience.com%2Fwos%2Fwoscc%2Ffull-record%2FWOS:000914865700021","View Full Record in Web of Science")</f>
        <v>View Full Record in Web of Science</v>
      </c>
    </row>
    <row r="992" ht="12.75" customHeight="1">
      <c r="A992" s="1" t="s">
        <v>72</v>
      </c>
      <c r="B992" s="1" t="s">
        <v>9799</v>
      </c>
      <c r="C992" s="1" t="s">
        <v>74</v>
      </c>
      <c r="D992" s="1" t="s">
        <v>74</v>
      </c>
      <c r="E992" s="1" t="s">
        <v>74</v>
      </c>
      <c r="F992" s="1" t="s">
        <v>9800</v>
      </c>
      <c r="G992" s="1" t="s">
        <v>74</v>
      </c>
      <c r="H992" s="1" t="s">
        <v>74</v>
      </c>
      <c r="I992" s="1" t="s">
        <v>9801</v>
      </c>
      <c r="J992" s="1" t="s">
        <v>1024</v>
      </c>
      <c r="K992" s="1" t="s">
        <v>74</v>
      </c>
      <c r="L992" s="1" t="s">
        <v>74</v>
      </c>
      <c r="M992" s="1" t="s">
        <v>74</v>
      </c>
      <c r="N992" s="1" t="s">
        <v>74</v>
      </c>
      <c r="O992" s="1" t="s">
        <v>74</v>
      </c>
      <c r="P992" s="1" t="s">
        <v>74</v>
      </c>
      <c r="Q992" s="1" t="s">
        <v>74</v>
      </c>
      <c r="R992" s="1" t="s">
        <v>74</v>
      </c>
      <c r="S992" s="1" t="s">
        <v>74</v>
      </c>
      <c r="T992" s="1" t="s">
        <v>74</v>
      </c>
      <c r="U992" s="1" t="s">
        <v>74</v>
      </c>
      <c r="V992" s="1" t="s">
        <v>9802</v>
      </c>
      <c r="W992" s="1" t="s">
        <v>74</v>
      </c>
      <c r="X992" s="1" t="s">
        <v>74</v>
      </c>
      <c r="Y992" s="1" t="s">
        <v>74</v>
      </c>
      <c r="Z992" s="1" t="s">
        <v>74</v>
      </c>
      <c r="AA992" s="1" t="s">
        <v>9803</v>
      </c>
      <c r="AB992" s="1" t="s">
        <v>9804</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1028</v>
      </c>
      <c r="AP992" s="1" t="s">
        <v>1029</v>
      </c>
      <c r="AQ992" s="1" t="s">
        <v>74</v>
      </c>
      <c r="AR992" s="1" t="s">
        <v>74</v>
      </c>
      <c r="AS992" s="1" t="s">
        <v>74</v>
      </c>
      <c r="AT992" s="1" t="s">
        <v>9805</v>
      </c>
      <c r="AU992" s="1">
        <v>2023.0</v>
      </c>
      <c r="AV992" s="1">
        <v>526.0</v>
      </c>
      <c r="AW992" s="1">
        <v>2.0</v>
      </c>
      <c r="AX992" s="1" t="s">
        <v>74</v>
      </c>
      <c r="AY992" s="1" t="s">
        <v>74</v>
      </c>
      <c r="AZ992" s="1" t="s">
        <v>74</v>
      </c>
      <c r="BA992" s="1" t="s">
        <v>74</v>
      </c>
      <c r="BB992" s="1">
        <v>2077.0</v>
      </c>
      <c r="BC992" s="1">
        <v>2085.0</v>
      </c>
      <c r="BD992" s="1" t="s">
        <v>74</v>
      </c>
      <c r="BE992" s="1" t="s">
        <v>9806</v>
      </c>
      <c r="BF992" s="2" t="str">
        <f>HYPERLINK("http://dx.doi.org/10.1093/mnras/stad2885","http://dx.doi.org/10.1093/mnras/stad2885")</f>
        <v>http://dx.doi.org/10.1093/mnras/stad2885</v>
      </c>
      <c r="BG992" s="1" t="s">
        <v>74</v>
      </c>
      <c r="BH992" s="1" t="s">
        <v>314</v>
      </c>
      <c r="BI992" s="1" t="s">
        <v>74</v>
      </c>
      <c r="BJ992" s="1" t="s">
        <v>74</v>
      </c>
      <c r="BK992" s="1" t="s">
        <v>74</v>
      </c>
      <c r="BL992" s="1" t="s">
        <v>74</v>
      </c>
      <c r="BM992" s="1" t="s">
        <v>74</v>
      </c>
      <c r="BN992" s="1" t="s">
        <v>74</v>
      </c>
      <c r="BO992" s="1" t="s">
        <v>74</v>
      </c>
      <c r="BP992" s="1" t="s">
        <v>74</v>
      </c>
      <c r="BQ992" s="1" t="s">
        <v>74</v>
      </c>
      <c r="BR992" s="1" t="s">
        <v>74</v>
      </c>
      <c r="BS992" s="1" t="s">
        <v>9807</v>
      </c>
      <c r="BT992" s="1" t="str">
        <f>HYPERLINK("https%3A%2F%2Fwww.webofscience.com%2Fwos%2Fwoscc%2Ffull-record%2FWOS:001078226700033","View Full Record in Web of Science")</f>
        <v>View Full Record in Web of Science</v>
      </c>
    </row>
    <row r="993" ht="12.75" customHeight="1">
      <c r="A993" s="1" t="s">
        <v>72</v>
      </c>
      <c r="B993" s="1" t="s">
        <v>9808</v>
      </c>
      <c r="C993" s="1" t="s">
        <v>74</v>
      </c>
      <c r="D993" s="1" t="s">
        <v>74</v>
      </c>
      <c r="E993" s="1" t="s">
        <v>74</v>
      </c>
      <c r="F993" s="1" t="s">
        <v>9809</v>
      </c>
      <c r="G993" s="1" t="s">
        <v>74</v>
      </c>
      <c r="H993" s="1" t="s">
        <v>8338</v>
      </c>
      <c r="I993" s="1" t="s">
        <v>9810</v>
      </c>
      <c r="J993" s="1" t="s">
        <v>9811</v>
      </c>
      <c r="K993" s="1" t="s">
        <v>74</v>
      </c>
      <c r="L993" s="1" t="s">
        <v>74</v>
      </c>
      <c r="M993" s="1" t="s">
        <v>74</v>
      </c>
      <c r="N993" s="1" t="s">
        <v>74</v>
      </c>
      <c r="O993" s="1" t="s">
        <v>74</v>
      </c>
      <c r="P993" s="1" t="s">
        <v>74</v>
      </c>
      <c r="Q993" s="1" t="s">
        <v>74</v>
      </c>
      <c r="R993" s="1" t="s">
        <v>74</v>
      </c>
      <c r="S993" s="1" t="s">
        <v>74</v>
      </c>
      <c r="T993" s="1" t="s">
        <v>74</v>
      </c>
      <c r="U993" s="1" t="s">
        <v>74</v>
      </c>
      <c r="V993" s="1" t="s">
        <v>9812</v>
      </c>
      <c r="W993" s="1" t="s">
        <v>74</v>
      </c>
      <c r="X993" s="1" t="s">
        <v>74</v>
      </c>
      <c r="Y993" s="1" t="s">
        <v>74</v>
      </c>
      <c r="Z993" s="1" t="s">
        <v>74</v>
      </c>
      <c r="AA993" s="1" t="s">
        <v>9813</v>
      </c>
      <c r="AB993" s="1" t="s">
        <v>9814</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9815</v>
      </c>
      <c r="AP993" s="1" t="s">
        <v>9816</v>
      </c>
      <c r="AQ993" s="1" t="s">
        <v>74</v>
      </c>
      <c r="AR993" s="1" t="s">
        <v>74</v>
      </c>
      <c r="AS993" s="1" t="s">
        <v>74</v>
      </c>
      <c r="AT993" s="1" t="s">
        <v>202</v>
      </c>
      <c r="AU993" s="1">
        <v>2022.0</v>
      </c>
      <c r="AV993" s="1">
        <v>122.0</v>
      </c>
      <c r="AW993" s="1">
        <v>6.0</v>
      </c>
      <c r="AX993" s="1" t="s">
        <v>74</v>
      </c>
      <c r="AY993" s="1" t="s">
        <v>74</v>
      </c>
      <c r="AZ993" s="1" t="s">
        <v>74</v>
      </c>
      <c r="BA993" s="1" t="s">
        <v>74</v>
      </c>
      <c r="BB993" s="1">
        <v>1099.0</v>
      </c>
      <c r="BC993" s="1" t="s">
        <v>966</v>
      </c>
      <c r="BD993" s="1" t="s">
        <v>74</v>
      </c>
      <c r="BE993" s="1" t="s">
        <v>9817</v>
      </c>
      <c r="BF993" s="2" t="str">
        <f>HYPERLINK("http://dx.doi.org/10.1016/j.jand.2021.11.012","http://dx.doi.org/10.1016/j.jand.2021.11.012")</f>
        <v>http://dx.doi.org/10.1016/j.jand.2021.11.012</v>
      </c>
      <c r="BG993" s="1" t="s">
        <v>74</v>
      </c>
      <c r="BH993" s="1" t="s">
        <v>1625</v>
      </c>
      <c r="BI993" s="1" t="s">
        <v>74</v>
      </c>
      <c r="BJ993" s="1" t="s">
        <v>74</v>
      </c>
      <c r="BK993" s="1" t="s">
        <v>74</v>
      </c>
      <c r="BL993" s="1" t="s">
        <v>74</v>
      </c>
      <c r="BM993" s="1" t="s">
        <v>74</v>
      </c>
      <c r="BN993" s="1">
        <v>3.4798337E7</v>
      </c>
      <c r="BO993" s="1" t="s">
        <v>74</v>
      </c>
      <c r="BP993" s="1" t="s">
        <v>74</v>
      </c>
      <c r="BQ993" s="1" t="s">
        <v>74</v>
      </c>
      <c r="BR993" s="1" t="s">
        <v>74</v>
      </c>
      <c r="BS993" s="1" t="s">
        <v>9818</v>
      </c>
      <c r="BT993" s="1" t="str">
        <f>HYPERLINK("https%3A%2F%2Fwww.webofscience.com%2Fwos%2Fwoscc%2Ffull-record%2FWOS:000841752200005","View Full Record in Web of Science")</f>
        <v>View Full Record in Web of Science</v>
      </c>
    </row>
    <row r="994" ht="12.75" customHeight="1">
      <c r="A994" s="1" t="s">
        <v>72</v>
      </c>
      <c r="B994" s="1" t="s">
        <v>9819</v>
      </c>
      <c r="C994" s="1" t="s">
        <v>74</v>
      </c>
      <c r="D994" s="1" t="s">
        <v>74</v>
      </c>
      <c r="E994" s="1" t="s">
        <v>74</v>
      </c>
      <c r="F994" s="1" t="s">
        <v>9820</v>
      </c>
      <c r="G994" s="1" t="s">
        <v>74</v>
      </c>
      <c r="H994" s="1" t="s">
        <v>9821</v>
      </c>
      <c r="I994" s="1" t="s">
        <v>9822</v>
      </c>
      <c r="J994" s="1" t="s">
        <v>9823</v>
      </c>
      <c r="K994" s="1" t="s">
        <v>74</v>
      </c>
      <c r="L994" s="1" t="s">
        <v>74</v>
      </c>
      <c r="M994" s="1" t="s">
        <v>74</v>
      </c>
      <c r="N994" s="1" t="s">
        <v>74</v>
      </c>
      <c r="O994" s="1" t="s">
        <v>74</v>
      </c>
      <c r="P994" s="1" t="s">
        <v>74</v>
      </c>
      <c r="Q994" s="1" t="s">
        <v>74</v>
      </c>
      <c r="R994" s="1" t="s">
        <v>74</v>
      </c>
      <c r="S994" s="1" t="s">
        <v>74</v>
      </c>
      <c r="T994" s="1" t="s">
        <v>74</v>
      </c>
      <c r="U994" s="1" t="s">
        <v>74</v>
      </c>
      <c r="V994" s="1" t="s">
        <v>9824</v>
      </c>
      <c r="W994" s="1" t="s">
        <v>74</v>
      </c>
      <c r="X994" s="1" t="s">
        <v>74</v>
      </c>
      <c r="Y994" s="1" t="s">
        <v>74</v>
      </c>
      <c r="Z994" s="1" t="s">
        <v>74</v>
      </c>
      <c r="AA994" s="1" t="s">
        <v>9825</v>
      </c>
      <c r="AB994" s="1" t="s">
        <v>9826</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9827</v>
      </c>
      <c r="AP994" s="1" t="s">
        <v>9828</v>
      </c>
      <c r="AQ994" s="1" t="s">
        <v>74</v>
      </c>
      <c r="AR994" s="1" t="s">
        <v>74</v>
      </c>
      <c r="AS994" s="1" t="s">
        <v>74</v>
      </c>
      <c r="AT994" s="1" t="s">
        <v>264</v>
      </c>
      <c r="AU994" s="1">
        <v>2016.0</v>
      </c>
      <c r="AV994" s="1">
        <v>8.0</v>
      </c>
      <c r="AW994" s="1">
        <v>1.0</v>
      </c>
      <c r="AX994" s="1" t="s">
        <v>74</v>
      </c>
      <c r="AY994" s="1" t="s">
        <v>74</v>
      </c>
      <c r="AZ994" s="1" t="s">
        <v>74</v>
      </c>
      <c r="BA994" s="1" t="s">
        <v>74</v>
      </c>
      <c r="BB994" s="1">
        <v>22.0</v>
      </c>
      <c r="BC994" s="1">
        <v>31.0</v>
      </c>
      <c r="BD994" s="1" t="s">
        <v>74</v>
      </c>
      <c r="BE994" s="1" t="s">
        <v>9829</v>
      </c>
      <c r="BF994" s="2" t="str">
        <f>HYPERLINK("http://dx.doi.org/10.4168/aair.2016.8.1.22","http://dx.doi.org/10.4168/aair.2016.8.1.22")</f>
        <v>http://dx.doi.org/10.4168/aair.2016.8.1.22</v>
      </c>
      <c r="BG994" s="1" t="s">
        <v>74</v>
      </c>
      <c r="BH994" s="1" t="s">
        <v>74</v>
      </c>
      <c r="BI994" s="1" t="s">
        <v>74</v>
      </c>
      <c r="BJ994" s="1" t="s">
        <v>74</v>
      </c>
      <c r="BK994" s="1" t="s">
        <v>74</v>
      </c>
      <c r="BL994" s="1" t="s">
        <v>74</v>
      </c>
      <c r="BM994" s="1" t="s">
        <v>74</v>
      </c>
      <c r="BN994" s="1">
        <v>2.6540498E7</v>
      </c>
      <c r="BO994" s="1" t="s">
        <v>74</v>
      </c>
      <c r="BP994" s="1" t="s">
        <v>74</v>
      </c>
      <c r="BQ994" s="1" t="s">
        <v>74</v>
      </c>
      <c r="BR994" s="1" t="s">
        <v>74</v>
      </c>
      <c r="BS994" s="1" t="s">
        <v>9830</v>
      </c>
      <c r="BT994" s="1" t="str">
        <f>HYPERLINK("https%3A%2F%2Fwww.webofscience.com%2Fwos%2Fwoscc%2Ffull-record%2FWOS:000367758400004","View Full Record in Web of Science")</f>
        <v>View Full Record in Web of Science</v>
      </c>
    </row>
    <row r="995" ht="12.75" customHeight="1">
      <c r="A995" s="1" t="s">
        <v>72</v>
      </c>
      <c r="B995" s="1" t="s">
        <v>9831</v>
      </c>
      <c r="C995" s="1" t="s">
        <v>74</v>
      </c>
      <c r="D995" s="1" t="s">
        <v>74</v>
      </c>
      <c r="E995" s="1" t="s">
        <v>74</v>
      </c>
      <c r="F995" s="1" t="s">
        <v>9832</v>
      </c>
      <c r="G995" s="1" t="s">
        <v>74</v>
      </c>
      <c r="H995" s="1" t="s">
        <v>74</v>
      </c>
      <c r="I995" s="1" t="s">
        <v>9833</v>
      </c>
      <c r="J995" s="1" t="s">
        <v>9834</v>
      </c>
      <c r="K995" s="1" t="s">
        <v>74</v>
      </c>
      <c r="L995" s="1" t="s">
        <v>74</v>
      </c>
      <c r="M995" s="1" t="s">
        <v>74</v>
      </c>
      <c r="N995" s="1" t="s">
        <v>74</v>
      </c>
      <c r="O995" s="1" t="s">
        <v>74</v>
      </c>
      <c r="P995" s="1" t="s">
        <v>74</v>
      </c>
      <c r="Q995" s="1" t="s">
        <v>74</v>
      </c>
      <c r="R995" s="1" t="s">
        <v>74</v>
      </c>
      <c r="S995" s="1" t="s">
        <v>74</v>
      </c>
      <c r="T995" s="1" t="s">
        <v>74</v>
      </c>
      <c r="U995" s="1" t="s">
        <v>74</v>
      </c>
      <c r="V995" s="1" t="s">
        <v>9835</v>
      </c>
      <c r="W995" s="1" t="s">
        <v>74</v>
      </c>
      <c r="X995" s="1" t="s">
        <v>74</v>
      </c>
      <c r="Y995" s="1" t="s">
        <v>74</v>
      </c>
      <c r="Z995" s="1" t="s">
        <v>74</v>
      </c>
      <c r="AA995" s="1" t="s">
        <v>9836</v>
      </c>
      <c r="AB995" s="1" t="s">
        <v>9837</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9838</v>
      </c>
      <c r="AP995" s="1" t="s">
        <v>9839</v>
      </c>
      <c r="AQ995" s="1" t="s">
        <v>74</v>
      </c>
      <c r="AR995" s="1" t="s">
        <v>74</v>
      </c>
      <c r="AS995" s="1" t="s">
        <v>74</v>
      </c>
      <c r="AT995" s="1" t="s">
        <v>264</v>
      </c>
      <c r="AU995" s="1">
        <v>2010.0</v>
      </c>
      <c r="AV995" s="1">
        <v>35.0</v>
      </c>
      <c r="AW995" s="1">
        <v>1.0</v>
      </c>
      <c r="AX995" s="1" t="s">
        <v>74</v>
      </c>
      <c r="AY995" s="1" t="s">
        <v>74</v>
      </c>
      <c r="AZ995" s="1" t="s">
        <v>74</v>
      </c>
      <c r="BA995" s="1" t="s">
        <v>74</v>
      </c>
      <c r="BB995" s="1">
        <v>103.0</v>
      </c>
      <c r="BC995" s="1">
        <v>112.0</v>
      </c>
      <c r="BD995" s="1" t="s">
        <v>74</v>
      </c>
      <c r="BE995" s="1" t="s">
        <v>9840</v>
      </c>
      <c r="BF995" s="2" t="str">
        <f>HYPERLINK("http://dx.doi.org/10.1002/uog.7487","http://dx.doi.org/10.1002/uog.7487")</f>
        <v>http://dx.doi.org/10.1002/uog.7487</v>
      </c>
      <c r="BG995" s="1" t="s">
        <v>74</v>
      </c>
      <c r="BH995" s="1" t="s">
        <v>74</v>
      </c>
      <c r="BI995" s="1" t="s">
        <v>74</v>
      </c>
      <c r="BJ995" s="1" t="s">
        <v>74</v>
      </c>
      <c r="BK995" s="1" t="s">
        <v>74</v>
      </c>
      <c r="BL995" s="1" t="s">
        <v>74</v>
      </c>
      <c r="BM995" s="1" t="s">
        <v>74</v>
      </c>
      <c r="BN995" s="1">
        <v>2.001436E7</v>
      </c>
      <c r="BO995" s="1" t="s">
        <v>74</v>
      </c>
      <c r="BP995" s="1" t="s">
        <v>74</v>
      </c>
      <c r="BQ995" s="1" t="s">
        <v>74</v>
      </c>
      <c r="BR995" s="1" t="s">
        <v>74</v>
      </c>
      <c r="BS995" s="1" t="s">
        <v>9841</v>
      </c>
      <c r="BT995" s="1" t="str">
        <f>HYPERLINK("https%3A%2F%2Fwww.webofscience.com%2Fwos%2Fwoscc%2Ffull-record%2FWOS:000273679800017","View Full Record in Web of Science")</f>
        <v>View Full Record in Web of Science</v>
      </c>
    </row>
    <row r="996" ht="12.75" customHeight="1">
      <c r="A996" s="1" t="s">
        <v>72</v>
      </c>
      <c r="B996" s="1" t="s">
        <v>9842</v>
      </c>
      <c r="C996" s="1" t="s">
        <v>74</v>
      </c>
      <c r="D996" s="1" t="s">
        <v>74</v>
      </c>
      <c r="E996" s="1" t="s">
        <v>74</v>
      </c>
      <c r="F996" s="1" t="s">
        <v>9843</v>
      </c>
      <c r="G996" s="1" t="s">
        <v>74</v>
      </c>
      <c r="H996" s="1" t="s">
        <v>74</v>
      </c>
      <c r="I996" s="1" t="s">
        <v>9844</v>
      </c>
      <c r="J996" s="1" t="s">
        <v>4240</v>
      </c>
      <c r="K996" s="1" t="s">
        <v>74</v>
      </c>
      <c r="L996" s="1" t="s">
        <v>74</v>
      </c>
      <c r="M996" s="1" t="s">
        <v>74</v>
      </c>
      <c r="N996" s="1" t="s">
        <v>74</v>
      </c>
      <c r="O996" s="1" t="s">
        <v>74</v>
      </c>
      <c r="P996" s="1" t="s">
        <v>74</v>
      </c>
      <c r="Q996" s="1" t="s">
        <v>74</v>
      </c>
      <c r="R996" s="1" t="s">
        <v>74</v>
      </c>
      <c r="S996" s="1" t="s">
        <v>74</v>
      </c>
      <c r="T996" s="1" t="s">
        <v>74</v>
      </c>
      <c r="U996" s="1" t="s">
        <v>74</v>
      </c>
      <c r="V996" s="1" t="s">
        <v>9845</v>
      </c>
      <c r="W996" s="1" t="s">
        <v>74</v>
      </c>
      <c r="X996" s="1" t="s">
        <v>74</v>
      </c>
      <c r="Y996" s="1" t="s">
        <v>74</v>
      </c>
      <c r="Z996" s="1" t="s">
        <v>74</v>
      </c>
      <c r="AA996" s="1" t="s">
        <v>9846</v>
      </c>
      <c r="AB996" s="1" t="s">
        <v>9847</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4243</v>
      </c>
      <c r="AP996" s="1" t="s">
        <v>4244</v>
      </c>
      <c r="AQ996" s="1" t="s">
        <v>74</v>
      </c>
      <c r="AR996" s="1" t="s">
        <v>74</v>
      </c>
      <c r="AS996" s="1" t="s">
        <v>74</v>
      </c>
      <c r="AT996" s="1" t="s">
        <v>6207</v>
      </c>
      <c r="AU996" s="1">
        <v>2024.0</v>
      </c>
      <c r="AV996" s="1">
        <v>352.0</v>
      </c>
      <c r="AW996" s="1" t="s">
        <v>74</v>
      </c>
      <c r="AX996" s="1" t="s">
        <v>74</v>
      </c>
      <c r="AY996" s="1" t="s">
        <v>74</v>
      </c>
      <c r="AZ996" s="1" t="s">
        <v>74</v>
      </c>
      <c r="BA996" s="1" t="s">
        <v>74</v>
      </c>
      <c r="BB996" s="1">
        <v>517.0</v>
      </c>
      <c r="BC996" s="1">
        <v>524.0</v>
      </c>
      <c r="BD996" s="1" t="s">
        <v>74</v>
      </c>
      <c r="BE996" s="1" t="s">
        <v>9848</v>
      </c>
      <c r="BF996" s="2" t="str">
        <f>HYPERLINK("http://dx.doi.org/10.1016/j.jad.2024.02.072","http://dx.doi.org/10.1016/j.jad.2024.02.072")</f>
        <v>http://dx.doi.org/10.1016/j.jad.2024.02.072</v>
      </c>
      <c r="BG996" s="1" t="s">
        <v>74</v>
      </c>
      <c r="BH996" s="1" t="s">
        <v>1329</v>
      </c>
      <c r="BI996" s="1" t="s">
        <v>74</v>
      </c>
      <c r="BJ996" s="1" t="s">
        <v>74</v>
      </c>
      <c r="BK996" s="1" t="s">
        <v>74</v>
      </c>
      <c r="BL996" s="1" t="s">
        <v>74</v>
      </c>
      <c r="BM996" s="1" t="s">
        <v>74</v>
      </c>
      <c r="BN996" s="1">
        <v>3.8408614E7</v>
      </c>
      <c r="BO996" s="1" t="s">
        <v>74</v>
      </c>
      <c r="BP996" s="1" t="s">
        <v>74</v>
      </c>
      <c r="BQ996" s="1" t="s">
        <v>74</v>
      </c>
      <c r="BR996" s="1" t="s">
        <v>74</v>
      </c>
      <c r="BS996" s="1" t="s">
        <v>9849</v>
      </c>
      <c r="BT996" s="1" t="str">
        <f>HYPERLINK("https%3A%2F%2Fwww.webofscience.com%2Fwos%2Fwoscc%2Ffull-record%2FWOS:001208451300001","View Full Record in Web of Science")</f>
        <v>View Full Record in Web of Science</v>
      </c>
    </row>
    <row r="997" ht="12.75" customHeight="1">
      <c r="A997" s="1" t="s">
        <v>72</v>
      </c>
      <c r="B997" s="1" t="s">
        <v>9850</v>
      </c>
      <c r="C997" s="1" t="s">
        <v>74</v>
      </c>
      <c r="D997" s="1" t="s">
        <v>74</v>
      </c>
      <c r="E997" s="1" t="s">
        <v>74</v>
      </c>
      <c r="F997" s="1" t="s">
        <v>9851</v>
      </c>
      <c r="G997" s="1" t="s">
        <v>74</v>
      </c>
      <c r="H997" s="1" t="s">
        <v>74</v>
      </c>
      <c r="I997" s="1" t="s">
        <v>9852</v>
      </c>
      <c r="J997" s="1" t="s">
        <v>9853</v>
      </c>
      <c r="K997" s="1" t="s">
        <v>74</v>
      </c>
      <c r="L997" s="1" t="s">
        <v>74</v>
      </c>
      <c r="M997" s="1" t="s">
        <v>74</v>
      </c>
      <c r="N997" s="1" t="s">
        <v>74</v>
      </c>
      <c r="O997" s="1" t="s">
        <v>74</v>
      </c>
      <c r="P997" s="1" t="s">
        <v>74</v>
      </c>
      <c r="Q997" s="1" t="s">
        <v>74</v>
      </c>
      <c r="R997" s="1" t="s">
        <v>74</v>
      </c>
      <c r="S997" s="1" t="s">
        <v>74</v>
      </c>
      <c r="T997" s="1" t="s">
        <v>74</v>
      </c>
      <c r="U997" s="1" t="s">
        <v>74</v>
      </c>
      <c r="V997" s="1" t="s">
        <v>9854</v>
      </c>
      <c r="W997" s="1" t="s">
        <v>74</v>
      </c>
      <c r="X997" s="1" t="s">
        <v>74</v>
      </c>
      <c r="Y997" s="1" t="s">
        <v>74</v>
      </c>
      <c r="Z997" s="1" t="s">
        <v>74</v>
      </c>
      <c r="AA997" s="1" t="s">
        <v>9855</v>
      </c>
      <c r="AB997" s="1" t="s">
        <v>9856</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9857</v>
      </c>
      <c r="AP997" s="1" t="s">
        <v>9858</v>
      </c>
      <c r="AQ997" s="1" t="s">
        <v>74</v>
      </c>
      <c r="AR997" s="1" t="s">
        <v>74</v>
      </c>
      <c r="AS997" s="1" t="s">
        <v>74</v>
      </c>
      <c r="AT997" s="1" t="s">
        <v>106</v>
      </c>
      <c r="AU997" s="1">
        <v>2013.0</v>
      </c>
      <c r="AV997" s="1">
        <v>195.0</v>
      </c>
      <c r="AW997" s="1">
        <v>3.0</v>
      </c>
      <c r="AX997" s="1" t="s">
        <v>74</v>
      </c>
      <c r="AY997" s="1" t="s">
        <v>74</v>
      </c>
      <c r="AZ997" s="1" t="s">
        <v>74</v>
      </c>
      <c r="BA997" s="1" t="s">
        <v>74</v>
      </c>
      <c r="BB997" s="1">
        <v>1141.0</v>
      </c>
      <c r="BC997" s="1" t="s">
        <v>966</v>
      </c>
      <c r="BD997" s="1" t="s">
        <v>74</v>
      </c>
      <c r="BE997" s="1" t="s">
        <v>9859</v>
      </c>
      <c r="BF997" s="2" t="str">
        <f>HYPERLINK("http://dx.doi.org/10.1534/genetics.113.155515","http://dx.doi.org/10.1534/genetics.113.155515")</f>
        <v>http://dx.doi.org/10.1534/genetics.113.155515</v>
      </c>
      <c r="BG997" s="1" t="s">
        <v>74</v>
      </c>
      <c r="BH997" s="1" t="s">
        <v>74</v>
      </c>
      <c r="BI997" s="1" t="s">
        <v>74</v>
      </c>
      <c r="BJ997" s="1" t="s">
        <v>74</v>
      </c>
      <c r="BK997" s="1" t="s">
        <v>74</v>
      </c>
      <c r="BL997" s="1" t="s">
        <v>74</v>
      </c>
      <c r="BM997" s="1" t="s">
        <v>74</v>
      </c>
      <c r="BN997" s="1">
        <v>2.4037264E7</v>
      </c>
      <c r="BO997" s="1" t="s">
        <v>74</v>
      </c>
      <c r="BP997" s="1" t="s">
        <v>74</v>
      </c>
      <c r="BQ997" s="1" t="s">
        <v>74</v>
      </c>
      <c r="BR997" s="1" t="s">
        <v>74</v>
      </c>
      <c r="BS997" s="1" t="s">
        <v>9860</v>
      </c>
      <c r="BT997" s="1" t="str">
        <f>HYPERLINK("https%3A%2F%2Fwww.webofscience.com%2Fwos%2Fwoscc%2Ffull-record%2FWOS:000329874100038","View Full Record in Web of Science")</f>
        <v>View Full Record in Web of Science</v>
      </c>
    </row>
    <row r="998" ht="12.75" customHeight="1">
      <c r="A998" s="1" t="s">
        <v>72</v>
      </c>
      <c r="B998" s="1" t="s">
        <v>9861</v>
      </c>
      <c r="C998" s="1" t="s">
        <v>74</v>
      </c>
      <c r="D998" s="1" t="s">
        <v>74</v>
      </c>
      <c r="E998" s="1" t="s">
        <v>74</v>
      </c>
      <c r="F998" s="1" t="s">
        <v>9862</v>
      </c>
      <c r="G998" s="1" t="s">
        <v>74</v>
      </c>
      <c r="H998" s="1" t="s">
        <v>8338</v>
      </c>
      <c r="I998" s="1" t="s">
        <v>9863</v>
      </c>
      <c r="J998" s="1" t="s">
        <v>259</v>
      </c>
      <c r="K998" s="1" t="s">
        <v>74</v>
      </c>
      <c r="L998" s="1" t="s">
        <v>74</v>
      </c>
      <c r="M998" s="1" t="s">
        <v>74</v>
      </c>
      <c r="N998" s="1" t="s">
        <v>74</v>
      </c>
      <c r="O998" s="1" t="s">
        <v>74</v>
      </c>
      <c r="P998" s="1" t="s">
        <v>74</v>
      </c>
      <c r="Q998" s="1" t="s">
        <v>74</v>
      </c>
      <c r="R998" s="1" t="s">
        <v>74</v>
      </c>
      <c r="S998" s="1" t="s">
        <v>74</v>
      </c>
      <c r="T998" s="1" t="s">
        <v>74</v>
      </c>
      <c r="U998" s="1" t="s">
        <v>74</v>
      </c>
      <c r="V998" s="1" t="s">
        <v>9864</v>
      </c>
      <c r="W998" s="1" t="s">
        <v>74</v>
      </c>
      <c r="X998" s="1" t="s">
        <v>74</v>
      </c>
      <c r="Y998" s="1" t="s">
        <v>74</v>
      </c>
      <c r="Z998" s="1" t="s">
        <v>74</v>
      </c>
      <c r="AA998" s="1" t="s">
        <v>9865</v>
      </c>
      <c r="AB998" s="1" t="s">
        <v>9866</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74</v>
      </c>
      <c r="AP998" s="1" t="s">
        <v>263</v>
      </c>
      <c r="AQ998" s="1" t="s">
        <v>74</v>
      </c>
      <c r="AR998" s="1" t="s">
        <v>74</v>
      </c>
      <c r="AS998" s="1" t="s">
        <v>74</v>
      </c>
      <c r="AT998" s="1" t="s">
        <v>745</v>
      </c>
      <c r="AU998" s="1">
        <v>2021.0</v>
      </c>
      <c r="AV998" s="1">
        <v>13.0</v>
      </c>
      <c r="AW998" s="1">
        <v>7.0</v>
      </c>
      <c r="AX998" s="1" t="s">
        <v>74</v>
      </c>
      <c r="AY998" s="1" t="s">
        <v>74</v>
      </c>
      <c r="AZ998" s="1" t="s">
        <v>74</v>
      </c>
      <c r="BA998" s="1" t="s">
        <v>74</v>
      </c>
      <c r="BB998" s="1" t="s">
        <v>74</v>
      </c>
      <c r="BC998" s="1" t="s">
        <v>74</v>
      </c>
      <c r="BD998" s="1">
        <v>2404.0</v>
      </c>
      <c r="BE998" s="1" t="s">
        <v>9867</v>
      </c>
      <c r="BF998" s="2" t="str">
        <f>HYPERLINK("http://dx.doi.org/10.3390/nu13072404","http://dx.doi.org/10.3390/nu13072404")</f>
        <v>http://dx.doi.org/10.3390/nu13072404</v>
      </c>
      <c r="BG998" s="1" t="s">
        <v>74</v>
      </c>
      <c r="BH998" s="1" t="s">
        <v>74</v>
      </c>
      <c r="BI998" s="1" t="s">
        <v>74</v>
      </c>
      <c r="BJ998" s="1" t="s">
        <v>74</v>
      </c>
      <c r="BK998" s="1" t="s">
        <v>74</v>
      </c>
      <c r="BL998" s="1" t="s">
        <v>74</v>
      </c>
      <c r="BM998" s="1" t="s">
        <v>74</v>
      </c>
      <c r="BN998" s="1">
        <v>3.4371915E7</v>
      </c>
      <c r="BO998" s="1" t="s">
        <v>74</v>
      </c>
      <c r="BP998" s="1" t="s">
        <v>74</v>
      </c>
      <c r="BQ998" s="1" t="s">
        <v>74</v>
      </c>
      <c r="BR998" s="1" t="s">
        <v>74</v>
      </c>
      <c r="BS998" s="1" t="s">
        <v>9868</v>
      </c>
      <c r="BT998" s="1" t="str">
        <f>HYPERLINK("https%3A%2F%2Fwww.webofscience.com%2Fwos%2Fwoscc%2Ffull-record%2FWOS:000676526200001","View Full Record in Web of Science")</f>
        <v>View Full Record in Web of Science</v>
      </c>
    </row>
    <row r="999" ht="12.75" customHeight="1">
      <c r="A999" s="1" t="s">
        <v>72</v>
      </c>
      <c r="B999" s="1" t="s">
        <v>9869</v>
      </c>
      <c r="C999" s="1" t="s">
        <v>74</v>
      </c>
      <c r="D999" s="1" t="s">
        <v>74</v>
      </c>
      <c r="E999" s="1" t="s">
        <v>74</v>
      </c>
      <c r="F999" s="1" t="s">
        <v>9870</v>
      </c>
      <c r="G999" s="1" t="s">
        <v>74</v>
      </c>
      <c r="H999" s="1" t="s">
        <v>74</v>
      </c>
      <c r="I999" s="1" t="s">
        <v>9871</v>
      </c>
      <c r="J999" s="1" t="s">
        <v>9872</v>
      </c>
      <c r="K999" s="1" t="s">
        <v>74</v>
      </c>
      <c r="L999" s="1" t="s">
        <v>74</v>
      </c>
      <c r="M999" s="1" t="s">
        <v>74</v>
      </c>
      <c r="N999" s="1" t="s">
        <v>74</v>
      </c>
      <c r="O999" s="1" t="s">
        <v>74</v>
      </c>
      <c r="P999" s="1" t="s">
        <v>74</v>
      </c>
      <c r="Q999" s="1" t="s">
        <v>74</v>
      </c>
      <c r="R999" s="1" t="s">
        <v>74</v>
      </c>
      <c r="S999" s="1" t="s">
        <v>74</v>
      </c>
      <c r="T999" s="1" t="s">
        <v>74</v>
      </c>
      <c r="U999" s="1" t="s">
        <v>74</v>
      </c>
      <c r="V999" s="1" t="s">
        <v>9873</v>
      </c>
      <c r="W999" s="1" t="s">
        <v>74</v>
      </c>
      <c r="X999" s="1" t="s">
        <v>74</v>
      </c>
      <c r="Y999" s="1" t="s">
        <v>74</v>
      </c>
      <c r="Z999" s="1" t="s">
        <v>74</v>
      </c>
      <c r="AA999" s="1" t="s">
        <v>9874</v>
      </c>
      <c r="AB999" s="1" t="s">
        <v>9875</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9876</v>
      </c>
      <c r="AP999" s="1" t="s">
        <v>9877</v>
      </c>
      <c r="AQ999" s="1" t="s">
        <v>74</v>
      </c>
      <c r="AR999" s="1" t="s">
        <v>74</v>
      </c>
      <c r="AS999" s="1" t="s">
        <v>74</v>
      </c>
      <c r="AT999" s="1" t="s">
        <v>202</v>
      </c>
      <c r="AU999" s="1">
        <v>2021.0</v>
      </c>
      <c r="AV999" s="1">
        <v>101.0</v>
      </c>
      <c r="AW999" s="1">
        <v>6.0</v>
      </c>
      <c r="AX999" s="1" t="s">
        <v>74</v>
      </c>
      <c r="AY999" s="1" t="s">
        <v>74</v>
      </c>
      <c r="AZ999" s="1" t="s">
        <v>74</v>
      </c>
      <c r="BA999" s="1" t="s">
        <v>74</v>
      </c>
      <c r="BB999" s="1" t="s">
        <v>74</v>
      </c>
      <c r="BC999" s="1" t="s">
        <v>74</v>
      </c>
      <c r="BD999" s="1" t="s">
        <v>9878</v>
      </c>
      <c r="BE999" s="1" t="s">
        <v>9879</v>
      </c>
      <c r="BF999" s="2" t="str">
        <f>HYPERLINK("http://dx.doi.org/10.1093/ptj/pzab053","http://dx.doi.org/10.1093/ptj/pzab053")</f>
        <v>http://dx.doi.org/10.1093/ptj/pzab053</v>
      </c>
      <c r="BG999" s="1" t="s">
        <v>74</v>
      </c>
      <c r="BH999" s="1" t="s">
        <v>1867</v>
      </c>
      <c r="BI999" s="1" t="s">
        <v>74</v>
      </c>
      <c r="BJ999" s="1" t="s">
        <v>74</v>
      </c>
      <c r="BK999" s="1" t="s">
        <v>74</v>
      </c>
      <c r="BL999" s="1" t="s">
        <v>74</v>
      </c>
      <c r="BM999" s="1" t="s">
        <v>74</v>
      </c>
      <c r="BN999" s="1">
        <v>3.356128E7</v>
      </c>
      <c r="BO999" s="1" t="s">
        <v>74</v>
      </c>
      <c r="BP999" s="1" t="s">
        <v>74</v>
      </c>
      <c r="BQ999" s="1" t="s">
        <v>74</v>
      </c>
      <c r="BR999" s="1" t="s">
        <v>74</v>
      </c>
      <c r="BS999" s="1" t="s">
        <v>9880</v>
      </c>
      <c r="BT999" s="1" t="str">
        <f>HYPERLINK("https%3A%2F%2Fwww.webofscience.com%2Fwos%2Fwoscc%2Ffull-record%2FWOS:000732786500006","View Full Record in Web of Science")</f>
        <v>View Full Record in Web of Science</v>
      </c>
    </row>
    <row r="1000" ht="12.75" customHeight="1">
      <c r="A1000" s="1" t="s">
        <v>72</v>
      </c>
      <c r="B1000" s="1" t="s">
        <v>9881</v>
      </c>
      <c r="C1000" s="1" t="s">
        <v>74</v>
      </c>
      <c r="D1000" s="1" t="s">
        <v>74</v>
      </c>
      <c r="E1000" s="1" t="s">
        <v>74</v>
      </c>
      <c r="F1000" s="1" t="s">
        <v>9882</v>
      </c>
      <c r="G1000" s="1" t="s">
        <v>74</v>
      </c>
      <c r="H1000" s="1" t="s">
        <v>74</v>
      </c>
      <c r="I1000" s="1" t="s">
        <v>9883</v>
      </c>
      <c r="J1000" s="1" t="s">
        <v>2174</v>
      </c>
      <c r="K1000" s="1" t="s">
        <v>74</v>
      </c>
      <c r="L1000" s="1" t="s">
        <v>74</v>
      </c>
      <c r="M1000" s="1" t="s">
        <v>74</v>
      </c>
      <c r="N1000" s="1" t="s">
        <v>74</v>
      </c>
      <c r="O1000" s="1" t="s">
        <v>74</v>
      </c>
      <c r="P1000" s="1" t="s">
        <v>74</v>
      </c>
      <c r="Q1000" s="1" t="s">
        <v>74</v>
      </c>
      <c r="R1000" s="1" t="s">
        <v>74</v>
      </c>
      <c r="S1000" s="1" t="s">
        <v>74</v>
      </c>
      <c r="T1000" s="1" t="s">
        <v>74</v>
      </c>
      <c r="U1000" s="1" t="s">
        <v>74</v>
      </c>
      <c r="V1000" s="1" t="s">
        <v>9884</v>
      </c>
      <c r="W1000" s="1" t="s">
        <v>74</v>
      </c>
      <c r="X1000" s="1" t="s">
        <v>74</v>
      </c>
      <c r="Y1000" s="1" t="s">
        <v>74</v>
      </c>
      <c r="Z1000" s="1" t="s">
        <v>74</v>
      </c>
      <c r="AA1000" s="1" t="s">
        <v>9885</v>
      </c>
      <c r="AB1000" s="1" t="s">
        <v>9886</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2178</v>
      </c>
      <c r="AP1000" s="1" t="s">
        <v>74</v>
      </c>
      <c r="AQ1000" s="1" t="s">
        <v>74</v>
      </c>
      <c r="AR1000" s="1" t="s">
        <v>74</v>
      </c>
      <c r="AS1000" s="1" t="s">
        <v>74</v>
      </c>
      <c r="AT1000" s="1" t="s">
        <v>4331</v>
      </c>
      <c r="AU1000" s="1">
        <v>2019.0</v>
      </c>
      <c r="AV1000" s="1">
        <v>116.0</v>
      </c>
      <c r="AW1000" s="1">
        <v>43.0</v>
      </c>
      <c r="AX1000" s="1" t="s">
        <v>74</v>
      </c>
      <c r="AY1000" s="1" t="s">
        <v>74</v>
      </c>
      <c r="AZ1000" s="1" t="s">
        <v>74</v>
      </c>
      <c r="BA1000" s="1" t="s">
        <v>74</v>
      </c>
      <c r="BB1000" s="1">
        <v>21821.0</v>
      </c>
      <c r="BC1000" s="1">
        <v>21827.0</v>
      </c>
      <c r="BD1000" s="1" t="s">
        <v>74</v>
      </c>
      <c r="BE1000" s="1" t="s">
        <v>9887</v>
      </c>
      <c r="BF1000" s="2" t="str">
        <f>HYPERLINK("http://dx.doi.org/10.1073/pnas.1908008116","http://dx.doi.org/10.1073/pnas.1908008116")</f>
        <v>http://dx.doi.org/10.1073/pnas.1908008116</v>
      </c>
      <c r="BG1000" s="1" t="s">
        <v>74</v>
      </c>
      <c r="BH1000" s="1" t="s">
        <v>74</v>
      </c>
      <c r="BI1000" s="1" t="s">
        <v>74</v>
      </c>
      <c r="BJ1000" s="1" t="s">
        <v>74</v>
      </c>
      <c r="BK1000" s="1" t="s">
        <v>74</v>
      </c>
      <c r="BL1000" s="1" t="s">
        <v>74</v>
      </c>
      <c r="BM1000" s="1" t="s">
        <v>74</v>
      </c>
      <c r="BN1000" s="1">
        <v>3.1591224E7</v>
      </c>
      <c r="BO1000" s="1" t="s">
        <v>74</v>
      </c>
      <c r="BP1000" s="1" t="s">
        <v>74</v>
      </c>
      <c r="BQ1000" s="1" t="s">
        <v>74</v>
      </c>
      <c r="BR1000" s="1" t="s">
        <v>74</v>
      </c>
      <c r="BS1000" s="1" t="s">
        <v>9888</v>
      </c>
      <c r="BT1000" s="1" t="str">
        <f>HYPERLINK("https%3A%2F%2Fwww.webofscience.com%2Fwos%2Fwoscc%2Ffull-record%2FWOS:000491366700067","View Full Record in Web of Science")</f>
        <v>View Full Record in Web of Science</v>
      </c>
    </row>
    <row r="1001" ht="12.75" customHeight="1">
      <c r="A1001" s="1" t="s">
        <v>72</v>
      </c>
      <c r="B1001" s="1" t="s">
        <v>9889</v>
      </c>
      <c r="C1001" s="1" t="s">
        <v>74</v>
      </c>
      <c r="D1001" s="1" t="s">
        <v>74</v>
      </c>
      <c r="E1001" s="1" t="s">
        <v>74</v>
      </c>
      <c r="F1001" s="1" t="s">
        <v>9890</v>
      </c>
      <c r="G1001" s="1" t="s">
        <v>74</v>
      </c>
      <c r="H1001" s="1" t="s">
        <v>74</v>
      </c>
      <c r="I1001" s="1" t="s">
        <v>9891</v>
      </c>
      <c r="J1001" s="1" t="s">
        <v>9892</v>
      </c>
      <c r="K1001" s="1" t="s">
        <v>74</v>
      </c>
      <c r="L1001" s="1" t="s">
        <v>74</v>
      </c>
      <c r="M1001" s="1" t="s">
        <v>74</v>
      </c>
      <c r="N1001" s="1" t="s">
        <v>74</v>
      </c>
      <c r="O1001" s="1" t="s">
        <v>74</v>
      </c>
      <c r="P1001" s="1" t="s">
        <v>74</v>
      </c>
      <c r="Q1001" s="1" t="s">
        <v>74</v>
      </c>
      <c r="R1001" s="1" t="s">
        <v>74</v>
      </c>
      <c r="S1001" s="1" t="s">
        <v>74</v>
      </c>
      <c r="T1001" s="1" t="s">
        <v>74</v>
      </c>
      <c r="U1001" s="1" t="s">
        <v>74</v>
      </c>
      <c r="V1001" s="1" t="s">
        <v>74</v>
      </c>
      <c r="W1001" s="1" t="s">
        <v>74</v>
      </c>
      <c r="X1001" s="1" t="s">
        <v>74</v>
      </c>
      <c r="Y1001" s="1" t="s">
        <v>74</v>
      </c>
      <c r="Z1001" s="1" t="s">
        <v>74</v>
      </c>
      <c r="AA1001" s="1" t="s">
        <v>9893</v>
      </c>
      <c r="AB1001" s="1" t="s">
        <v>9167</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9894</v>
      </c>
      <c r="AP1001" s="1" t="s">
        <v>9895</v>
      </c>
      <c r="AQ1001" s="1" t="s">
        <v>74</v>
      </c>
      <c r="AR1001" s="1" t="s">
        <v>74</v>
      </c>
      <c r="AS1001" s="1" t="s">
        <v>74</v>
      </c>
      <c r="AT1001" s="1" t="s">
        <v>723</v>
      </c>
      <c r="AU1001" s="1">
        <v>2023.0</v>
      </c>
      <c r="AV1001" s="1">
        <v>259.0</v>
      </c>
      <c r="AW1001" s="1" t="s">
        <v>74</v>
      </c>
      <c r="AX1001" s="1" t="s">
        <v>74</v>
      </c>
      <c r="AY1001" s="1" t="s">
        <v>74</v>
      </c>
      <c r="AZ1001" s="1" t="s">
        <v>74</v>
      </c>
      <c r="BA1001" s="1" t="s">
        <v>74</v>
      </c>
      <c r="BB1001" s="1">
        <v>277.0</v>
      </c>
      <c r="BC1001" s="1">
        <v>277.0</v>
      </c>
      <c r="BD1001" s="1" t="s">
        <v>74</v>
      </c>
      <c r="BE1001" s="1" t="s">
        <v>9896</v>
      </c>
      <c r="BF1001" s="2" t="str">
        <f>HYPERLINK("http://dx.doi.org/10.1016/j.solener.2023.05.036","http://dx.doi.org/10.1016/j.solener.2023.05.036")</f>
        <v>http://dx.doi.org/10.1016/j.solener.2023.05.036</v>
      </c>
      <c r="BG1001" s="1" t="s">
        <v>74</v>
      </c>
      <c r="BH1001" s="1" t="s">
        <v>835</v>
      </c>
      <c r="BI1001" s="1" t="s">
        <v>74</v>
      </c>
      <c r="BJ1001" s="1" t="s">
        <v>74</v>
      </c>
      <c r="BK1001" s="1" t="s">
        <v>74</v>
      </c>
      <c r="BL1001" s="1" t="s">
        <v>74</v>
      </c>
      <c r="BM1001" s="1" t="s">
        <v>74</v>
      </c>
      <c r="BN1001" s="1" t="s">
        <v>74</v>
      </c>
      <c r="BO1001" s="1" t="s">
        <v>74</v>
      </c>
      <c r="BP1001" s="1" t="s">
        <v>74</v>
      </c>
      <c r="BQ1001" s="1" t="s">
        <v>74</v>
      </c>
      <c r="BR1001" s="1" t="s">
        <v>74</v>
      </c>
      <c r="BS1001" s="1" t="s">
        <v>9897</v>
      </c>
      <c r="BT1001" s="1" t="str">
        <f>HYPERLINK("https%3A%2F%2Fwww.webofscience.com%2Fwos%2Fwoscc%2Ffull-record%2FWOS:001012615500001","View Full Record in Web of Science")</f>
        <v>View Full Record in Web of Science</v>
      </c>
    </row>
  </sheetData>
  <printOptions/>
  <pageMargins bottom="0.75" footer="0.0" header="0.0" left="0.7" right="0.7" top="0.75"/>
  <pageSetup orientation="landscape"/>
  <drawing r:id="rId1"/>
</worksheet>
</file>