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santalucia_mail_austral_edu_ar/Documents/AUSTRAL/Economía Empresarial/4º Año/1º Cuatrimestre/Emprendimientos/netparking/"/>
    </mc:Choice>
  </mc:AlternateContent>
  <xr:revisionPtr revIDLastSave="0" documentId="8_{F336713C-7CD1-4E5E-BB1E-BA873F3DB691}" xr6:coauthVersionLast="47" xr6:coauthVersionMax="47" xr10:uidLastSave="{00000000-0000-0000-0000-000000000000}"/>
  <bookViews>
    <workbookView xWindow="-23148" yWindow="-108" windowWidth="23256" windowHeight="12456" activeTab="4" xr2:uid="{00000000-000D-0000-FFFF-FFFF00000000}"/>
  </bookViews>
  <sheets>
    <sheet name="Links " sheetId="9" r:id="rId1"/>
    <sheet name="Evidencias" sheetId="2" r:id="rId2"/>
    <sheet name="Lista de costos" sheetId="1" r:id="rId3"/>
    <sheet name="Inversiones" sheetId="11" r:id="rId4"/>
    <sheet name="Economics " sheetId="8" r:id="rId5"/>
    <sheet name="Roadmap" sheetId="12" r:id="rId6"/>
    <sheet name="Plan de lanzamiento" sheetId="10" r:id="rId7"/>
  </sheets>
  <externalReferences>
    <externalReference r:id="rId8"/>
  </externalReferences>
  <definedNames>
    <definedName name="Alq">[1]EBITDA!$F$10</definedName>
    <definedName name="CostLocal">[1]EBITDA!$D$19</definedName>
    <definedName name="Costo">[1]EBITDA!$F$5</definedName>
    <definedName name="Gadmin">[1]EBITDA!$F$14</definedName>
    <definedName name="Gfijos">[1]EBITDA!$F$12</definedName>
    <definedName name="Mhobra">[1]EBITDA!$F$6</definedName>
    <definedName name="Otros">[1]EBITDA!$F$11</definedName>
    <definedName name="PUB">[1]EBITDA!$F$8</definedName>
    <definedName name="REG">[1]EBITDA!$F$9</definedName>
    <definedName name="vpromedio">[1]EBITDA!$D$4</definedName>
    <definedName name="WACC">[1]EBITDA!$D$31</definedName>
    <definedName name="weigh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1" l="1"/>
  <c r="G14" i="1"/>
  <c r="H14" i="1" s="1"/>
  <c r="B50" i="8" s="1"/>
  <c r="C50" i="8" s="1"/>
  <c r="D50" i="8" s="1"/>
  <c r="E50" i="8" s="1"/>
  <c r="F50" i="8" s="1"/>
  <c r="G17" i="1"/>
  <c r="H17" i="1" s="1"/>
  <c r="C16" i="1"/>
  <c r="G16" i="1" s="1"/>
  <c r="H16" i="1" s="1"/>
  <c r="C15" i="1"/>
  <c r="G15" i="1" s="1"/>
  <c r="H15" i="1" s="1"/>
  <c r="C29" i="1"/>
  <c r="C28" i="1"/>
  <c r="C30" i="1" s="1"/>
  <c r="H7" i="1" s="1"/>
  <c r="C2" i="11"/>
  <c r="B9" i="11"/>
  <c r="C13" i="1"/>
  <c r="C5" i="1"/>
  <c r="G5" i="1" s="1"/>
  <c r="H5" i="1" s="1"/>
  <c r="C4" i="1"/>
  <c r="C65" i="8"/>
  <c r="C71" i="8" s="1"/>
  <c r="D65" i="8"/>
  <c r="D71" i="8" s="1"/>
  <c r="E65" i="8"/>
  <c r="E71" i="8" s="1"/>
  <c r="F65" i="8"/>
  <c r="F71" i="8" s="1"/>
  <c r="C3" i="11"/>
  <c r="B52" i="8" s="1"/>
  <c r="C72" i="8" s="1"/>
  <c r="B4" i="11"/>
  <c r="G65" i="8"/>
  <c r="G71" i="8" s="1"/>
  <c r="B24" i="1"/>
  <c r="D24" i="1" s="1"/>
  <c r="B23" i="1"/>
  <c r="D23" i="1" s="1"/>
  <c r="B22" i="1"/>
  <c r="D22" i="1" s="1"/>
  <c r="C28" i="8"/>
  <c r="D28" i="8" s="1"/>
  <c r="E28" i="8" s="1"/>
  <c r="F28" i="8" s="1"/>
  <c r="B6" i="8"/>
  <c r="B12" i="8"/>
  <c r="B14" i="8" s="1"/>
  <c r="B16" i="8"/>
  <c r="B15" i="8"/>
  <c r="F51" i="8" l="1"/>
  <c r="C51" i="8"/>
  <c r="B51" i="8"/>
  <c r="E51" i="8"/>
  <c r="D51" i="8"/>
  <c r="C52" i="8"/>
  <c r="C4" i="11"/>
  <c r="B64" i="8" s="1"/>
  <c r="B65" i="8" s="1"/>
  <c r="B71" i="8" s="1"/>
  <c r="B73" i="8" s="1"/>
  <c r="D25" i="1"/>
  <c r="G6" i="1" s="1"/>
  <c r="H6" i="1" s="1"/>
  <c r="B46" i="8" s="1"/>
  <c r="C46" i="8" s="1"/>
  <c r="D46" i="8" s="1"/>
  <c r="E46" i="8" s="1"/>
  <c r="F46" i="8" s="1"/>
  <c r="B17" i="8"/>
  <c r="B18" i="8" s="1"/>
  <c r="B22" i="8" s="1"/>
  <c r="B26" i="8" s="1"/>
  <c r="E24" i="1" l="1"/>
  <c r="E22" i="1"/>
  <c r="E23" i="1"/>
  <c r="D72" i="8"/>
  <c r="D52" i="8"/>
  <c r="E52" i="8" l="1"/>
  <c r="E72" i="8"/>
  <c r="B30" i="8"/>
  <c r="C26" i="8"/>
  <c r="D26" i="8" s="1"/>
  <c r="E26" i="8" s="1"/>
  <c r="F26" i="8" s="1"/>
  <c r="F52" i="8" l="1"/>
  <c r="G72" i="8" s="1"/>
  <c r="F72" i="8"/>
  <c r="B31" i="8"/>
  <c r="C30" i="8"/>
  <c r="C31" i="8" s="1"/>
  <c r="C32" i="8" s="1"/>
  <c r="C38" i="8" s="1"/>
  <c r="C41" i="8" s="1"/>
  <c r="C43" i="8" s="1"/>
  <c r="D30" i="8"/>
  <c r="D31" i="8" s="1"/>
  <c r="D32" i="8" s="1"/>
  <c r="D38" i="8" s="1"/>
  <c r="D41" i="8" s="1"/>
  <c r="D43" i="8" s="1"/>
  <c r="B32" i="8" l="1"/>
  <c r="B38" i="8" s="1"/>
  <c r="B41" i="8" s="1"/>
  <c r="B43" i="8" s="1"/>
  <c r="B44" i="8" s="1"/>
  <c r="D44" i="8"/>
  <c r="C44" i="8"/>
  <c r="F30" i="8"/>
  <c r="F31" i="8" s="1"/>
  <c r="F32" i="8" s="1"/>
  <c r="F38" i="8" s="1"/>
  <c r="F41" i="8" s="1"/>
  <c r="F43" i="8" s="1"/>
  <c r="E30" i="8"/>
  <c r="E31" i="8" s="1"/>
  <c r="E32" i="8" s="1"/>
  <c r="E38" i="8" s="1"/>
  <c r="E41" i="8" s="1"/>
  <c r="E43" i="8" s="1"/>
  <c r="E44" i="8" l="1"/>
  <c r="F44" i="8"/>
  <c r="C12" i="1" l="1"/>
  <c r="G12" i="1" s="1"/>
  <c r="H12" i="1" s="1"/>
  <c r="G4" i="1"/>
  <c r="H4" i="1" s="1"/>
  <c r="B48" i="8" l="1"/>
  <c r="C48" i="8" s="1"/>
  <c r="H8" i="1"/>
  <c r="G13" i="1"/>
  <c r="H13" i="1" l="1"/>
  <c r="H18" i="1" s="1"/>
  <c r="D48" i="8"/>
  <c r="B47" i="8" l="1"/>
  <c r="E48" i="8"/>
  <c r="C47" i="8" l="1"/>
  <c r="B53" i="8"/>
  <c r="F48" i="8"/>
  <c r="B55" i="8" l="1"/>
  <c r="B56" i="8" s="1"/>
  <c r="B54" i="8"/>
  <c r="D47" i="8"/>
  <c r="C53" i="8"/>
  <c r="C55" i="8" l="1"/>
  <c r="C56" i="8" s="1"/>
  <c r="C54" i="8"/>
  <c r="E47" i="8"/>
  <c r="D53" i="8"/>
  <c r="C70" i="8"/>
  <c r="C73" i="8" s="1"/>
  <c r="B79" i="8" s="1"/>
  <c r="B57" i="8"/>
  <c r="D54" i="8" l="1"/>
  <c r="D55" i="8"/>
  <c r="D56" i="8" s="1"/>
  <c r="F47" i="8"/>
  <c r="F53" i="8" s="1"/>
  <c r="E53" i="8"/>
  <c r="D70" i="8"/>
  <c r="D73" i="8" s="1"/>
  <c r="C57" i="8"/>
  <c r="E55" i="8" l="1"/>
  <c r="E56" i="8" s="1"/>
  <c r="E54" i="8"/>
  <c r="D57" i="8"/>
  <c r="E70" i="8"/>
  <c r="E73" i="8" s="1"/>
  <c r="F55" i="8"/>
  <c r="F56" i="8" s="1"/>
  <c r="F54" i="8"/>
  <c r="F57" i="8" l="1"/>
  <c r="G70" i="8"/>
  <c r="G73" i="8" s="1"/>
  <c r="F70" i="8"/>
  <c r="F73" i="8" s="1"/>
  <c r="B78" i="8" s="1"/>
  <c r="E57" i="8"/>
  <c r="B77" i="8" l="1"/>
</calcChain>
</file>

<file path=xl/sharedStrings.xml><?xml version="1.0" encoding="utf-8"?>
<sst xmlns="http://schemas.openxmlformats.org/spreadsheetml/2006/main" count="230" uniqueCount="194">
  <si>
    <t>link</t>
  </si>
  <si>
    <t>explicación</t>
  </si>
  <si>
    <t>https://smartseguros.com.ar/colapso-en-la-ciudad-cuantos-autos-hay-en-buenos-aires/</t>
  </si>
  <si>
    <t>porcentaje del parque automotor de argentina que de PBA y de CABA</t>
  </si>
  <si>
    <t>https://chequeado.com/ultimas-noticias/kicillof-en-la-ciudad-la-mitad-de-los-trabajadores-son-de-la-provincia/</t>
  </si>
  <si>
    <t>personas que viajan de caba a bsas</t>
  </si>
  <si>
    <t>https://datos.bancomundial.org/indicator/SP.POP.GROW?locations=AR</t>
  </si>
  <si>
    <t>aumento población banco mundial</t>
  </si>
  <si>
    <t>https://www.lanacion.com.ar/autos/livianos-pesados-a-gas-y-nafteros-cuantos-autos-hay-en-la-argentina-nid01062022/</t>
  </si>
  <si>
    <t>info autos argentina</t>
  </si>
  <si>
    <t>https://admob.google.com/home/?utm_source=sem&amp;utm_medium=text&amp;utm_campaign=2023-admob-latam-ar&amp;utm_content=rsa&amp;gclid=CjwKCAjwgqejBhBAEiwAuWHioP1kBAFrdu-3ipJ0-pUiPz92-nz1ysks3j4FYFaikay64ywPHE3uuhoCn8EQAvD_BwE&amp;gclsrc=aw.ds</t>
  </si>
  <si>
    <t>ingresos por publicidad</t>
  </si>
  <si>
    <t>ESTRUCTURA DE COSTOS</t>
  </si>
  <si>
    <t>1 USD = 492.00 ARS</t>
  </si>
  <si>
    <t>UNIDAD</t>
  </si>
  <si>
    <t>PRESUPUESTO MENSUAL</t>
  </si>
  <si>
    <t>USD</t>
  </si>
  <si>
    <t>COSTOS SEMIFIJOS</t>
  </si>
  <si>
    <t>AR$</t>
  </si>
  <si>
    <t>unidad</t>
  </si>
  <si>
    <t>#</t>
  </si>
  <si>
    <t>USD Total</t>
  </si>
  <si>
    <t>ANUAL</t>
  </si>
  <si>
    <t>Sueldo de los programadores</t>
  </si>
  <si>
    <t>por empleado tiempo completo, por mes</t>
  </si>
  <si>
    <t>empleados</t>
  </si>
  <si>
    <t>Sueldo de directores</t>
  </si>
  <si>
    <t>por director, por mes</t>
  </si>
  <si>
    <t>directores</t>
  </si>
  <si>
    <r>
      <t>Publicidad</t>
    </r>
    <r>
      <rPr>
        <sz val="11"/>
        <color theme="1"/>
        <rFont val="Calibri"/>
        <family val="2"/>
        <scheme val="minor"/>
      </rPr>
      <t xml:space="preserve"> *ver desarrollo abajo</t>
    </r>
  </si>
  <si>
    <r>
      <t>Alquiler de servidores</t>
    </r>
    <r>
      <rPr>
        <sz val="11"/>
        <color theme="1"/>
        <rFont val="Calibri"/>
        <family val="2"/>
        <scheme val="minor"/>
      </rPr>
      <t xml:space="preserve"> *ver desarrollo abajo</t>
    </r>
  </si>
  <si>
    <t>TOTAL</t>
  </si>
  <si>
    <t>COSTOS FIJOS</t>
  </si>
  <si>
    <t>Contrato de uso de API Google Maps</t>
  </si>
  <si>
    <t>Viáticos (para contacto con estacionamientos)</t>
  </si>
  <si>
    <t>por viaje</t>
  </si>
  <si>
    <t>viajes</t>
  </si>
  <si>
    <t>Alquiler oficina</t>
  </si>
  <si>
    <t>Paquete Office 365</t>
  </si>
  <si>
    <t>paquetes</t>
  </si>
  <si>
    <t>Publicidad USD</t>
  </si>
  <si>
    <t>Plataforma</t>
  </si>
  <si>
    <t>Costo x impresión</t>
  </si>
  <si>
    <t>Impresiones deseadas</t>
  </si>
  <si>
    <t>Costo total mensual</t>
  </si>
  <si>
    <t>Presupuesto</t>
  </si>
  <si>
    <t>Instagram</t>
  </si>
  <si>
    <t>Tiktok</t>
  </si>
  <si>
    <t>Youtube</t>
  </si>
  <si>
    <t>Alquiler de servidores</t>
  </si>
  <si>
    <t>Mensual</t>
  </si>
  <si>
    <t>Annual</t>
  </si>
  <si>
    <t>Funcionamiento</t>
  </si>
  <si>
    <t>Mantenimiento</t>
  </si>
  <si>
    <t>Total</t>
  </si>
  <si>
    <t>Concepto</t>
  </si>
  <si>
    <t>Inversión ARS</t>
  </si>
  <si>
    <t>Inversión USD</t>
  </si>
  <si>
    <t>Desarrollo tercerizado de la app *desarrollo abajo</t>
  </si>
  <si>
    <t>Equipos de computación para nuestros empleados (10 notebooks)</t>
  </si>
  <si>
    <t>Desarrollo tercerizado</t>
  </si>
  <si>
    <t>Horas de programación estimadas</t>
  </si>
  <si>
    <t>Costo por hora</t>
  </si>
  <si>
    <t>Inversión total</t>
  </si>
  <si>
    <t>Año 2024</t>
  </si>
  <si>
    <t>Q1</t>
  </si>
  <si>
    <t>Q2</t>
  </si>
  <si>
    <t>Q3</t>
  </si>
  <si>
    <t>Q4</t>
  </si>
  <si>
    <t>Actividad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</si>
  <si>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</si>
  <si>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</si>
  <si>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</si>
  <si>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</si>
  <si>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</si>
  <si>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</si>
  <si>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</si>
  <si>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</si>
  <si>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</si>
  <si>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</si>
  <si>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</si>
  <si>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</si>
  <si>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APP</t>
  </si>
  <si>
    <t>Diseño pantallas</t>
  </si>
  <si>
    <t>Desarrollo Plataforma</t>
  </si>
  <si>
    <t>CONTACTO ESTACIONAMIENTOS</t>
  </si>
  <si>
    <t>PRIMER CONTACTO</t>
  </si>
  <si>
    <t>Salir a vender la propuesta</t>
  </si>
  <si>
    <t>Primeros contratos</t>
  </si>
  <si>
    <t>OTROS CONTRATOS</t>
  </si>
  <si>
    <t>Contrato Google Play</t>
  </si>
  <si>
    <t>Acuerdo con App Store</t>
  </si>
  <si>
    <t>Acuerdo con Google Maps API</t>
  </si>
  <si>
    <t>PUBLICIDAD</t>
  </si>
  <si>
    <t>&gt;&gt;&gt;</t>
  </si>
  <si>
    <t>TEST</t>
  </si>
  <si>
    <t>RRHH</t>
  </si>
  <si>
    <t>Contratación de programadores</t>
  </si>
  <si>
    <t>Capacitación e inducción</t>
  </si>
  <si>
    <t>DRAFT MODELO DE DEMANDA</t>
  </si>
  <si>
    <t>Información complementaria</t>
  </si>
  <si>
    <t>Días hábiles (2023)</t>
  </si>
  <si>
    <t>Supuesto: Estimamos que el usuario de la app realice una búsqueda por día hábil.</t>
  </si>
  <si>
    <t>Cantidad de resultados por búsqueda</t>
  </si>
  <si>
    <t>Resultados de búsqueda por usuario por año</t>
  </si>
  <si>
    <t>Comisión por aparición en busqueda (P) (USD)</t>
  </si>
  <si>
    <t>Información vehículos</t>
  </si>
  <si>
    <t>Vehículos en circulación Argentina</t>
  </si>
  <si>
    <t>Porcentaje vehículos pesados (-)</t>
  </si>
  <si>
    <t>Vehículos no pesados en circulación</t>
  </si>
  <si>
    <t>Porcentaje de vehículos en CABA</t>
  </si>
  <si>
    <t>Vehículos en CABA</t>
  </si>
  <si>
    <t>Personas que viajan a CABA</t>
  </si>
  <si>
    <t>% que viajan en vehículos propios</t>
  </si>
  <si>
    <t>Vehículos que van a CABA de provinica</t>
  </si>
  <si>
    <t>Total vehículos CABA + Provincia</t>
  </si>
  <si>
    <t>Porcentaje de vehículos menos de 10 años</t>
  </si>
  <si>
    <t>Porcentaje de vehículos entre 10 a 20 años</t>
  </si>
  <si>
    <t>Porcentaje de vehículos más de 20 años</t>
  </si>
  <si>
    <t>Total vehículos con menos de 20 años</t>
  </si>
  <si>
    <t>Período</t>
  </si>
  <si>
    <t>Año gregoriano</t>
  </si>
  <si>
    <t>Vehículos aptos (SOM)</t>
  </si>
  <si>
    <t xml:space="preserve"> Crecimiento interanual de población</t>
  </si>
  <si>
    <t>-</t>
  </si>
  <si>
    <t>Participación de mercado (%)</t>
  </si>
  <si>
    <t xml:space="preserve"> Crecimiento interanual del share</t>
  </si>
  <si>
    <t>Share (º)</t>
  </si>
  <si>
    <t>Cantidad de comisiones cobradas por resultados de búsqueda (Q)</t>
  </si>
  <si>
    <t>Ingresos por comisiones (P x Q) (USD)</t>
  </si>
  <si>
    <t>ESTADO DE RESULTADOS USD</t>
  </si>
  <si>
    <t>Ingresos por comisiones</t>
  </si>
  <si>
    <t>Ingresos por anuncios</t>
  </si>
  <si>
    <t>Ingresos por publicidad</t>
  </si>
  <si>
    <t>Total ingresos</t>
  </si>
  <si>
    <t>Costos brutos</t>
  </si>
  <si>
    <t>Margen Bruto</t>
  </si>
  <si>
    <t>Margen bruto/ventas</t>
  </si>
  <si>
    <t>Gastos comerciales</t>
  </si>
  <si>
    <t>Gastos comunicación, marketing</t>
  </si>
  <si>
    <t>Gastos operativos y logísticos</t>
  </si>
  <si>
    <t>Gastos administrativos</t>
  </si>
  <si>
    <t>Gastos Investigación y Desarrollo</t>
  </si>
  <si>
    <t>Alquiler de oficina</t>
  </si>
  <si>
    <t>Amortización Equipos</t>
  </si>
  <si>
    <t>Beneficio Operativo</t>
  </si>
  <si>
    <t>EBIT/Ventas</t>
  </si>
  <si>
    <t>Impuesto a las ganancias</t>
  </si>
  <si>
    <t>Beneficio Neto</t>
  </si>
  <si>
    <t>Beneficio Neto/Ventas</t>
  </si>
  <si>
    <t>NECESIDAD OPERATIVA DE FONDOS</t>
  </si>
  <si>
    <t>Variaciones de Stock</t>
  </si>
  <si>
    <t>Inversión inicial</t>
  </si>
  <si>
    <t>FLUJO DE FONDOS</t>
  </si>
  <si>
    <t>NOF + Inversión inicial</t>
  </si>
  <si>
    <t>Amortizaciones</t>
  </si>
  <si>
    <t>FCF</t>
  </si>
  <si>
    <t>VAN y TIR</t>
  </si>
  <si>
    <t>Tasa de descuento:</t>
  </si>
  <si>
    <t>VAN</t>
  </si>
  <si>
    <t>TIR</t>
  </si>
  <si>
    <t>Requerimiento de fondos (Valor presente)</t>
  </si>
  <si>
    <t>Payback</t>
  </si>
  <si>
    <t>PLAN DE LANZAMIENTO</t>
  </si>
  <si>
    <t>Trimestre</t>
  </si>
  <si>
    <t>SOCIETARIO</t>
  </si>
  <si>
    <t>Armar Sociedad</t>
  </si>
  <si>
    <t>Equipo básico</t>
  </si>
  <si>
    <t>Contador Abogado</t>
  </si>
  <si>
    <t>Inscripciones</t>
  </si>
  <si>
    <t>FINANZAS</t>
  </si>
  <si>
    <t>Responsable finanzas</t>
  </si>
  <si>
    <t>Análisis y presupuestos</t>
  </si>
  <si>
    <t>Desarrollo networking</t>
  </si>
  <si>
    <t>Gestión financiamiento inicial</t>
  </si>
  <si>
    <t>Gestión financiamiento posterior</t>
  </si>
  <si>
    <t>&gt;&gt;&gt;&gt;</t>
  </si>
  <si>
    <t>COMERCIAL</t>
  </si>
  <si>
    <t>Responsible Comercial</t>
  </si>
  <si>
    <t>Revisión de validaciones cliente proveedor</t>
  </si>
  <si>
    <t>Revisión de validaciones clientes</t>
  </si>
  <si>
    <t>Registración marca</t>
  </si>
  <si>
    <t>OPERACIONES / TECNOLOGIA</t>
  </si>
  <si>
    <t>Responsible operaciones</t>
  </si>
  <si>
    <t>Acuerdo Google Play</t>
  </si>
  <si>
    <t>Análisis opciones internas/ externas</t>
  </si>
  <si>
    <t>Proveedor servicios cloud y otros</t>
  </si>
  <si>
    <t>Desarrollo plataforma</t>
  </si>
  <si>
    <t>Testeo MVP</t>
  </si>
  <si>
    <t>Inicio operación</t>
  </si>
  <si>
    <t>PUESTA EN MARCHA</t>
  </si>
  <si>
    <t>Revisión final</t>
  </si>
  <si>
    <t>Evento lanzamiento</t>
  </si>
  <si>
    <t>Primeros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</si>
</sst>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%"/>
    <numFmt numFmtId="166" formatCode="0.0"/>
    <numFmt numFmtId="167" formatCode="_([$$-409]* #,##0.000_);_([$$-409]* \(#,##0.000\);_([$$-409]* &quot;-&quot;??_);_(@_)"/>
    <numFmt numFmtId="168" formatCode="_([$$-409]* #,##0.000_);_([$$-409]* \(#,##0.000\);_([$$-409]* &quot;-&quot;?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2EFDA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4">
    <xf numFmtId="0" fontId="0" fillId="0" borderId="0" xfId="0"/>
    <xf numFmtId="16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0" borderId="0" xfId="0" applyFont="1"/>
    <xf numFmtId="3" fontId="0" fillId="0" borderId="0" xfId="0" applyNumberFormat="1"/>
    <xf numFmtId="3" fontId="0" fillId="0" borderId="3" xfId="0" applyNumberFormat="1" applyBorder="1"/>
    <xf numFmtId="0" fontId="0" fillId="0" borderId="3" xfId="0" applyBorder="1"/>
    <xf numFmtId="0" fontId="0" fillId="3" borderId="0" xfId="0" applyFill="1"/>
    <xf numFmtId="0" fontId="4" fillId="0" borderId="0" xfId="3"/>
    <xf numFmtId="0" fontId="4" fillId="0" borderId="0" xfId="3" applyAlignment="1"/>
    <xf numFmtId="0" fontId="0" fillId="0" borderId="11" xfId="0" applyBorder="1"/>
    <xf numFmtId="0" fontId="0" fillId="0" borderId="15" xfId="0" applyBorder="1"/>
    <xf numFmtId="9" fontId="0" fillId="0" borderId="16" xfId="0" applyNumberFormat="1" applyBorder="1"/>
    <xf numFmtId="0" fontId="2" fillId="5" borderId="13" xfId="0" applyFont="1" applyFill="1" applyBorder="1"/>
    <xf numFmtId="3" fontId="2" fillId="5" borderId="14" xfId="0" applyNumberFormat="1" applyFont="1" applyFill="1" applyBorder="1"/>
    <xf numFmtId="0" fontId="2" fillId="0" borderId="3" xfId="0" applyFont="1" applyBorder="1"/>
    <xf numFmtId="3" fontId="2" fillId="0" borderId="3" xfId="0" applyNumberFormat="1" applyFont="1" applyBorder="1"/>
    <xf numFmtId="0" fontId="0" fillId="0" borderId="7" xfId="0" applyBorder="1"/>
    <xf numFmtId="3" fontId="0" fillId="0" borderId="8" xfId="0" applyNumberFormat="1" applyBorder="1"/>
    <xf numFmtId="0" fontId="0" fillId="0" borderId="21" xfId="0" applyBorder="1"/>
    <xf numFmtId="9" fontId="0" fillId="0" borderId="22" xfId="1" applyFont="1" applyFill="1" applyBorder="1"/>
    <xf numFmtId="0" fontId="0" fillId="0" borderId="23" xfId="0" applyBorder="1"/>
    <xf numFmtId="9" fontId="0" fillId="0" borderId="24" xfId="0" applyNumberFormat="1" applyBorder="1"/>
    <xf numFmtId="3" fontId="0" fillId="0" borderId="12" xfId="0" applyNumberFormat="1" applyBorder="1"/>
    <xf numFmtId="0" fontId="0" fillId="6" borderId="2" xfId="0" applyFill="1" applyBorder="1"/>
    <xf numFmtId="3" fontId="0" fillId="6" borderId="3" xfId="0" applyNumberFormat="1" applyFill="1" applyBorder="1"/>
    <xf numFmtId="0" fontId="5" fillId="6" borderId="2" xfId="0" applyFont="1" applyFill="1" applyBorder="1"/>
    <xf numFmtId="165" fontId="0" fillId="6" borderId="3" xfId="1" applyNumberFormat="1" applyFont="1" applyFill="1" applyBorder="1"/>
    <xf numFmtId="0" fontId="0" fillId="7" borderId="2" xfId="0" applyFill="1" applyBorder="1"/>
    <xf numFmtId="9" fontId="0" fillId="7" borderId="3" xfId="0" applyNumberFormat="1" applyFill="1" applyBorder="1"/>
    <xf numFmtId="0" fontId="5" fillId="7" borderId="2" xfId="0" applyFont="1" applyFill="1" applyBorder="1"/>
    <xf numFmtId="0" fontId="0" fillId="8" borderId="3" xfId="0" applyFill="1" applyBorder="1"/>
    <xf numFmtId="0" fontId="0" fillId="9" borderId="5" xfId="0" applyFill="1" applyBorder="1"/>
    <xf numFmtId="0" fontId="3" fillId="9" borderId="3" xfId="0" applyFont="1" applyFill="1" applyBorder="1"/>
    <xf numFmtId="0" fontId="0" fillId="9" borderId="25" xfId="0" applyFill="1" applyBorder="1"/>
    <xf numFmtId="0" fontId="3" fillId="9" borderId="6" xfId="0" applyFont="1" applyFill="1" applyBorder="1"/>
    <xf numFmtId="3" fontId="2" fillId="0" borderId="0" xfId="0" applyNumberFormat="1" applyFont="1"/>
    <xf numFmtId="0" fontId="0" fillId="0" borderId="26" xfId="0" applyBorder="1"/>
    <xf numFmtId="3" fontId="0" fillId="0" borderId="27" xfId="0" applyNumberFormat="1" applyBorder="1"/>
    <xf numFmtId="0" fontId="0" fillId="0" borderId="28" xfId="0" applyBorder="1"/>
    <xf numFmtId="3" fontId="0" fillId="0" borderId="29" xfId="0" applyNumberFormat="1" applyBorder="1"/>
    <xf numFmtId="1" fontId="0" fillId="0" borderId="3" xfId="0" applyNumberFormat="1" applyBorder="1"/>
    <xf numFmtId="0" fontId="6" fillId="0" borderId="0" xfId="0" applyFont="1"/>
    <xf numFmtId="9" fontId="0" fillId="8" borderId="3" xfId="1" applyFont="1" applyFill="1" applyBorder="1"/>
    <xf numFmtId="9" fontId="2" fillId="8" borderId="3" xfId="1" applyFont="1" applyFill="1" applyBorder="1"/>
    <xf numFmtId="0" fontId="0" fillId="9" borderId="3" xfId="0" applyFill="1" applyBorder="1"/>
    <xf numFmtId="0" fontId="2" fillId="9" borderId="3" xfId="0" applyFont="1" applyFill="1" applyBorder="1"/>
    <xf numFmtId="1" fontId="0" fillId="10" borderId="3" xfId="0" applyNumberFormat="1" applyFill="1" applyBorder="1"/>
    <xf numFmtId="0" fontId="0" fillId="10" borderId="3" xfId="0" applyFill="1" applyBorder="1"/>
    <xf numFmtId="0" fontId="0" fillId="4" borderId="3" xfId="0" applyFill="1" applyBorder="1"/>
    <xf numFmtId="0" fontId="2" fillId="0" borderId="9" xfId="0" applyFont="1" applyBorder="1"/>
    <xf numFmtId="0" fontId="0" fillId="2" borderId="3" xfId="0" applyFill="1" applyBorder="1"/>
    <xf numFmtId="9" fontId="0" fillId="0" borderId="3" xfId="0" applyNumberFormat="1" applyBorder="1"/>
    <xf numFmtId="1" fontId="2" fillId="0" borderId="3" xfId="0" applyNumberFormat="1" applyFont="1" applyBorder="1"/>
    <xf numFmtId="0" fontId="2" fillId="3" borderId="0" xfId="0" applyFont="1" applyFill="1"/>
    <xf numFmtId="0" fontId="4" fillId="0" borderId="0" xfId="3" applyFill="1"/>
    <xf numFmtId="0" fontId="2" fillId="5" borderId="23" xfId="0" applyFont="1" applyFill="1" applyBorder="1"/>
    <xf numFmtId="3" fontId="2" fillId="5" borderId="24" xfId="0" applyNumberFormat="1" applyFont="1" applyFill="1" applyBorder="1"/>
    <xf numFmtId="167" fontId="2" fillId="0" borderId="10" xfId="0" applyNumberFormat="1" applyFont="1" applyBorder="1"/>
    <xf numFmtId="0" fontId="0" fillId="0" borderId="33" xfId="0" applyBorder="1"/>
    <xf numFmtId="1" fontId="0" fillId="0" borderId="33" xfId="0" applyNumberFormat="1" applyBorder="1"/>
    <xf numFmtId="1" fontId="0" fillId="3" borderId="33" xfId="0" applyNumberFormat="1" applyFill="1" applyBorder="1"/>
    <xf numFmtId="0" fontId="0" fillId="0" borderId="5" xfId="0" applyBorder="1"/>
    <xf numFmtId="0" fontId="8" fillId="0" borderId="5" xfId="0" applyFont="1" applyBorder="1"/>
    <xf numFmtId="1" fontId="0" fillId="0" borderId="43" xfId="0" applyNumberFormat="1" applyBorder="1"/>
    <xf numFmtId="0" fontId="0" fillId="0" borderId="43" xfId="0" applyBorder="1"/>
    <xf numFmtId="1" fontId="0" fillId="0" borderId="21" xfId="0" applyNumberFormat="1" applyBorder="1"/>
    <xf numFmtId="1" fontId="0" fillId="0" borderId="22" xfId="0" applyNumberFormat="1" applyBorder="1"/>
    <xf numFmtId="0" fontId="0" fillId="0" borderId="22" xfId="0" applyBorder="1"/>
    <xf numFmtId="0" fontId="8" fillId="0" borderId="25" xfId="0" applyFont="1" applyBorder="1"/>
    <xf numFmtId="1" fontId="0" fillId="0" borderId="15" xfId="0" applyNumberFormat="1" applyBorder="1"/>
    <xf numFmtId="1" fontId="0" fillId="0" borderId="36" xfId="0" applyNumberFormat="1" applyBorder="1"/>
    <xf numFmtId="1" fontId="0" fillId="0" borderId="16" xfId="0" applyNumberFormat="1" applyBorder="1"/>
    <xf numFmtId="1" fontId="0" fillId="0" borderId="42" xfId="0" applyNumberFormat="1" applyBorder="1"/>
    <xf numFmtId="0" fontId="0" fillId="0" borderId="44" xfId="0" applyBorder="1"/>
    <xf numFmtId="1" fontId="0" fillId="0" borderId="14" xfId="0" applyNumberFormat="1" applyBorder="1"/>
    <xf numFmtId="0" fontId="2" fillId="6" borderId="23" xfId="0" applyFont="1" applyFill="1" applyBorder="1"/>
    <xf numFmtId="3" fontId="2" fillId="6" borderId="24" xfId="0" applyNumberFormat="1" applyFont="1" applyFill="1" applyBorder="1"/>
    <xf numFmtId="0" fontId="2" fillId="0" borderId="7" xfId="0" applyFont="1" applyBorder="1"/>
    <xf numFmtId="10" fontId="2" fillId="0" borderId="8" xfId="0" applyNumberFormat="1" applyFont="1" applyBorder="1"/>
    <xf numFmtId="0" fontId="2" fillId="0" borderId="21" xfId="0" applyFont="1" applyBorder="1"/>
    <xf numFmtId="10" fontId="2" fillId="0" borderId="22" xfId="0" applyNumberFormat="1" applyFont="1" applyBorder="1"/>
    <xf numFmtId="0" fontId="2" fillId="0" borderId="15" xfId="0" applyFont="1" applyBorder="1"/>
    <xf numFmtId="10" fontId="2" fillId="0" borderId="16" xfId="0" applyNumberFormat="1" applyFont="1" applyBorder="1"/>
    <xf numFmtId="0" fontId="2" fillId="18" borderId="13" xfId="0" applyFont="1" applyFill="1" applyBorder="1"/>
    <xf numFmtId="3" fontId="2" fillId="18" borderId="14" xfId="0" applyNumberFormat="1" applyFont="1" applyFill="1" applyBorder="1"/>
    <xf numFmtId="165" fontId="0" fillId="7" borderId="3" xfId="0" applyNumberFormat="1" applyFill="1" applyBorder="1"/>
    <xf numFmtId="0" fontId="0" fillId="0" borderId="38" xfId="0" applyBorder="1"/>
    <xf numFmtId="0" fontId="0" fillId="0" borderId="46" xfId="0" applyBorder="1"/>
    <xf numFmtId="0" fontId="0" fillId="0" borderId="9" xfId="0" applyBorder="1"/>
    <xf numFmtId="0" fontId="0" fillId="0" borderId="48" xfId="0" applyBorder="1"/>
    <xf numFmtId="1" fontId="0" fillId="0" borderId="11" xfId="0" applyNumberFormat="1" applyBorder="1"/>
    <xf numFmtId="1" fontId="0" fillId="0" borderId="34" xfId="0" applyNumberFormat="1" applyBorder="1"/>
    <xf numFmtId="1" fontId="0" fillId="0" borderId="12" xfId="0" applyNumberFormat="1" applyBorder="1"/>
    <xf numFmtId="1" fontId="0" fillId="0" borderId="49" xfId="0" applyNumberFormat="1" applyBorder="1"/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0" fillId="18" borderId="39" xfId="0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8" borderId="36" xfId="0" applyFont="1" applyFill="1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18" borderId="42" xfId="0" applyFont="1" applyFill="1" applyBorder="1" applyAlignment="1">
      <alignment horizontal="center" vertical="center"/>
    </xf>
    <xf numFmtId="0" fontId="2" fillId="0" borderId="17" xfId="0" applyFont="1" applyBorder="1"/>
    <xf numFmtId="0" fontId="0" fillId="0" borderId="13" xfId="0" applyBorder="1"/>
    <xf numFmtId="0" fontId="0" fillId="0" borderId="14" xfId="0" applyBorder="1"/>
    <xf numFmtId="0" fontId="0" fillId="0" borderId="50" xfId="0" applyBorder="1"/>
    <xf numFmtId="1" fontId="0" fillId="0" borderId="44" xfId="0" applyNumberFormat="1" applyBorder="1"/>
    <xf numFmtId="9" fontId="0" fillId="0" borderId="27" xfId="0" applyNumberFormat="1" applyBorder="1"/>
    <xf numFmtId="0" fontId="0" fillId="0" borderId="51" xfId="0" applyBorder="1"/>
    <xf numFmtId="3" fontId="0" fillId="0" borderId="51" xfId="0" applyNumberFormat="1" applyBorder="1"/>
    <xf numFmtId="9" fontId="0" fillId="0" borderId="52" xfId="0" applyNumberFormat="1" applyBorder="1"/>
    <xf numFmtId="0" fontId="0" fillId="0" borderId="31" xfId="0" applyBorder="1"/>
    <xf numFmtId="3" fontId="0" fillId="0" borderId="31" xfId="0" applyNumberFormat="1" applyBorder="1"/>
    <xf numFmtId="9" fontId="0" fillId="0" borderId="29" xfId="0" applyNumberFormat="1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4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35" xfId="0" applyBorder="1"/>
    <xf numFmtId="0" fontId="0" fillId="0" borderId="37" xfId="0" applyBorder="1"/>
    <xf numFmtId="0" fontId="0" fillId="0" borderId="8" xfId="0" applyBorder="1"/>
    <xf numFmtId="0" fontId="0" fillId="3" borderId="10" xfId="0" applyFill="1" applyBorder="1"/>
    <xf numFmtId="166" fontId="0" fillId="0" borderId="0" xfId="0" applyNumberFormat="1"/>
    <xf numFmtId="168" fontId="0" fillId="0" borderId="0" xfId="0" applyNumberFormat="1"/>
    <xf numFmtId="0" fontId="0" fillId="11" borderId="3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30" xfId="0" applyFill="1" applyBorder="1" applyAlignment="1">
      <alignment vertical="center"/>
    </xf>
    <xf numFmtId="0" fontId="2" fillId="12" borderId="3" xfId="0" applyFont="1" applyFill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/>
    <xf numFmtId="9" fontId="0" fillId="17" borderId="3" xfId="0" applyNumberFormat="1" applyFill="1" applyBorder="1"/>
    <xf numFmtId="3" fontId="2" fillId="0" borderId="62" xfId="0" applyNumberFormat="1" applyFont="1" applyBorder="1"/>
    <xf numFmtId="0" fontId="2" fillId="18" borderId="7" xfId="0" applyFont="1" applyFill="1" applyBorder="1" applyAlignment="1">
      <alignment horizontal="center" vertical="center"/>
    </xf>
    <xf numFmtId="0" fontId="2" fillId="18" borderId="37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15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2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11" borderId="30" xfId="0" applyFont="1" applyFill="1" applyBorder="1" applyAlignment="1">
      <alignment horizontal="center" vertical="center"/>
    </xf>
    <xf numFmtId="0" fontId="2" fillId="11" borderId="3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6" xfId="0" applyBorder="1" applyAlignment="1">
      <alignment horizontal="center"/>
    </xf>
  </cellXfs>
  <cellStyles count="4">
    <cellStyle name="Hipervínculo" xfId="3" builtinId="8"/>
    <cellStyle name="Millares 2" xfId="2" xr:uid="{7889CDFB-B1AE-4F5C-A616-825CB4B63349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5</xdr:col>
      <xdr:colOff>438150</xdr:colOff>
      <xdr:row>28</xdr:row>
      <xdr:rowOff>19050</xdr:rowOff>
    </xdr:to>
    <xdr:pic>
      <xdr:nvPicPr>
        <xdr:cNvPr id="10" name="Imagen 1">
          <a:extLst>
            <a:ext uri="{FF2B5EF4-FFF2-40B4-BE49-F238E27FC236}">
              <a16:creationId xmlns:a16="http://schemas.microsoft.com/office/drawing/2014/main" id="{C576B077-3235-4CA2-83ED-1462D7925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0"/>
          <a:ext cx="4248150" cy="1924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72390</xdr:rowOff>
    </xdr:from>
    <xdr:to>
      <xdr:col>3</xdr:col>
      <xdr:colOff>739140</xdr:colOff>
      <xdr:row>18</xdr:row>
      <xdr:rowOff>26885</xdr:rowOff>
    </xdr:to>
    <xdr:pic>
      <xdr:nvPicPr>
        <xdr:cNvPr id="9" name="Imagen 3">
          <a:extLst>
            <a:ext uri="{FF2B5EF4-FFF2-40B4-BE49-F238E27FC236}">
              <a16:creationId xmlns:a16="http://schemas.microsoft.com/office/drawing/2014/main" id="{DEE26731-5051-D5C2-3E33-2F13AA6E0F1E}"/>
            </a:ext>
            <a:ext uri="{147F2762-F138-4A5C-976F-8EAC2B608ADB}">
              <a16:predDERef xmlns:a16="http://schemas.microsoft.com/office/drawing/2014/main" pred="{C576B077-3235-4CA2-83ED-1462D79257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135" r="4892"/>
        <a:stretch/>
      </xdr:blipFill>
      <xdr:spPr>
        <a:xfrm>
          <a:off x="0" y="1024890"/>
          <a:ext cx="3025140" cy="24309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3</xdr:col>
      <xdr:colOff>504825</xdr:colOff>
      <xdr:row>52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0EE1A34-4EA9-2D2B-F179-220E0A2A1188}"/>
            </a:ext>
            <a:ext uri="{147F2762-F138-4A5C-976F-8EAC2B608ADB}">
              <a16:predDERef xmlns:a16="http://schemas.microsoft.com/office/drawing/2014/main" pred="{DEE26731-5051-D5C2-3E33-2F13AA6E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715000"/>
          <a:ext cx="2790825" cy="423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lumniiaeedu-my.sharepoint.com/personal/osantalucia_mail_austral_edu_ar/Documents/AUSTRAL/Econom&#237;a%20Empresarial/3&#186;%20A&#241;o/3&#186;%20-%20Primer%20Cuatrimestre/Finanzas%20Corporativas/TP%20Starbucks%20Sesto%20Santalucia%20Cocchiarella%20Seco.xlsx" TargetMode="External"/><Relationship Id="rId2" Type="http://schemas.microsoft.com/office/2019/04/relationships/externalLinkLongPath" Target="/personal/osantalucia_mail_austral_edu_ar/Documents/AUSTRAL/Econom&#237;a%20Empresarial/3&#186;%20A&#241;o/3&#186;%20-%20Primer%20Cuatrimestre/Finanzas%20Corporativas/TP%20Starbucks%20Sesto%20Santalucia%20Cocchiarella%20Seco.xlsx?2596998B" TargetMode="External"/><Relationship Id="rId1" Type="http://schemas.openxmlformats.org/officeDocument/2006/relationships/externalLinkPath" Target="file:///\\2596998B\TP%20Starbucks%20Sesto%20Santalucia%20Cocchiarella%20Se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nsignas y Anexos"/>
      <sheetName val="EBITDA"/>
      <sheetName val="FCFF"/>
      <sheetName val="Conclusiones y Asuncion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os.bancomundial.org/indicator/SP.POP.GROW?locations=AR" TargetMode="External"/><Relationship Id="rId2" Type="http://schemas.openxmlformats.org/officeDocument/2006/relationships/hyperlink" Target="https://chequeado.com/ultimas-noticias/kicillof-en-la-ciudad-la-mitad-de-los-trabajadores-son-de-la-provincia/" TargetMode="External"/><Relationship Id="rId1" Type="http://schemas.openxmlformats.org/officeDocument/2006/relationships/hyperlink" Target="https://smartseguros.com.ar/colapso-en-la-ciudad-cuantos-autos-hay-en-buenos-aires/" TargetMode="External"/><Relationship Id="rId5" Type="http://schemas.openxmlformats.org/officeDocument/2006/relationships/hyperlink" Target="https://admob.google.com/home/?utm_source=sem&amp;utm_medium=text&amp;utm_campaign=2023-admob-latam-ar&amp;utm_content=rsa&amp;gclid=CjwKCAjwgqejBhBAEiwAuWHioP1kBAFrdu-3ipJ0-pUiPz92-nz1ysks3j4FYFaikay64ywPHE3uuhoCn8EQAvD_BwE&amp;gclsrc=aw.ds" TargetMode="External"/><Relationship Id="rId4" Type="http://schemas.openxmlformats.org/officeDocument/2006/relationships/hyperlink" Target="https://www.lanacion.com.ar/autos/livianos-pesados-a-gas-y-nafteros-cuantos-autos-hay-en-la-argentina-nid0106202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martseguros.com.ar/colapso-en-la-ciudad-cuantos-autos-hay-en-buenos-aire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B0B5-6B53-4761-A885-4E19C7B53DCE}">
  <dimension ref="E2:F7"/>
  <sheetViews>
    <sheetView workbookViewId="0">
      <selection activeCell="E3" sqref="E3:E7"/>
    </sheetView>
  </sheetViews>
  <sheetFormatPr baseColWidth="10" defaultColWidth="11.42578125" defaultRowHeight="15" x14ac:dyDescent="0.25"/>
  <cols>
    <col min="5" max="5" width="22.7109375" customWidth="1"/>
  </cols>
  <sheetData>
    <row r="2" spans="5:6" x14ac:dyDescent="0.25">
      <c r="E2" t="s">
        <v>0</v>
      </c>
      <c r="F2" t="s">
        <v>1</v>
      </c>
    </row>
    <row r="3" spans="5:6" x14ac:dyDescent="0.25">
      <c r="E3" s="10" t="s">
        <v>2</v>
      </c>
      <c r="F3" t="s">
        <v>3</v>
      </c>
    </row>
    <row r="4" spans="5:6" x14ac:dyDescent="0.25">
      <c r="E4" s="9" t="s">
        <v>4</v>
      </c>
      <c r="F4" t="s">
        <v>5</v>
      </c>
    </row>
    <row r="5" spans="5:6" x14ac:dyDescent="0.25">
      <c r="E5" s="9" t="s">
        <v>6</v>
      </c>
      <c r="F5" t="s">
        <v>7</v>
      </c>
    </row>
    <row r="6" spans="5:6" x14ac:dyDescent="0.25">
      <c r="E6" s="9" t="s">
        <v>8</v>
      </c>
      <c r="F6" t="s">
        <v>9</v>
      </c>
    </row>
    <row r="7" spans="5:6" x14ac:dyDescent="0.25">
      <c r="E7" s="9" t="s">
        <v>10</v>
      </c>
      <c r="F7" t="s">
        <v>11</v>
      </c>
    </row>
  </sheetData>
  <hyperlinks>
    <hyperlink ref="E3" r:id="rId1" xr:uid="{9E5E4743-86C2-4479-B5D1-F04EE5DE430A}"/>
    <hyperlink ref="E4" r:id="rId2" xr:uid="{B81E77C1-0554-438A-952E-ECC53DD44F08}"/>
    <hyperlink ref="E5" r:id="rId3" xr:uid="{865E5E23-DC64-4E7C-A30E-0DD6AC519F51}"/>
    <hyperlink ref="E6" r:id="rId4" xr:uid="{FEF8C3D8-7AA4-4BEB-A197-FE5E647134A9}"/>
    <hyperlink ref="E7" r:id="rId5" xr:uid="{8F65CEBD-8F95-4866-A403-2B613F146E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619F2-E0E6-4AB7-BFC8-2B8AFC5D36AE}">
  <dimension ref="A1"/>
  <sheetViews>
    <sheetView workbookViewId="0">
      <selection activeCell="H26" sqref="H26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workbookViewId="0">
      <selection activeCell="G23" sqref="G23"/>
    </sheetView>
  </sheetViews>
  <sheetFormatPr baseColWidth="10" defaultColWidth="8.85546875" defaultRowHeight="15" x14ac:dyDescent="0.25"/>
  <cols>
    <col min="1" max="1" width="42.28515625" bestFit="1" customWidth="1"/>
    <col min="2" max="2" width="17" bestFit="1" customWidth="1"/>
    <col min="3" max="3" width="20.85546875" bestFit="1" customWidth="1"/>
    <col min="4" max="4" width="38" bestFit="1" customWidth="1"/>
    <col min="5" max="5" width="12.7109375" customWidth="1"/>
    <col min="6" max="6" width="10" bestFit="1" customWidth="1"/>
    <col min="7" max="7" width="9.42578125" bestFit="1" customWidth="1"/>
    <col min="8" max="8" width="11" bestFit="1" customWidth="1"/>
  </cols>
  <sheetData>
    <row r="1" spans="1:8" ht="15.75" thickBot="1" x14ac:dyDescent="0.3">
      <c r="A1" s="4" t="s">
        <v>12</v>
      </c>
      <c r="E1" t="s">
        <v>13</v>
      </c>
      <c r="G1" s="1">
        <v>45069</v>
      </c>
    </row>
    <row r="2" spans="1:8" x14ac:dyDescent="0.25">
      <c r="A2" s="103"/>
      <c r="B2" s="148" t="s">
        <v>14</v>
      </c>
      <c r="C2" s="149"/>
      <c r="D2" s="150"/>
      <c r="E2" s="151" t="s">
        <v>15</v>
      </c>
      <c r="F2" s="149"/>
      <c r="G2" s="149"/>
      <c r="H2" s="104" t="s">
        <v>16</v>
      </c>
    </row>
    <row r="3" spans="1:8" x14ac:dyDescent="0.25">
      <c r="A3" s="105" t="s">
        <v>17</v>
      </c>
      <c r="B3" s="106" t="s">
        <v>18</v>
      </c>
      <c r="C3" s="107" t="s">
        <v>16</v>
      </c>
      <c r="D3" s="108" t="s">
        <v>19</v>
      </c>
      <c r="E3" s="109" t="s">
        <v>20</v>
      </c>
      <c r="F3" s="107" t="s">
        <v>19</v>
      </c>
      <c r="G3" s="107" t="s">
        <v>21</v>
      </c>
      <c r="H3" s="108" t="s">
        <v>22</v>
      </c>
    </row>
    <row r="4" spans="1:8" x14ac:dyDescent="0.25">
      <c r="A4" s="63" t="s">
        <v>23</v>
      </c>
      <c r="B4" s="67">
        <v>150000</v>
      </c>
      <c r="C4" s="61">
        <f>+B4/492</f>
        <v>304.8780487804878</v>
      </c>
      <c r="D4" s="68" t="s">
        <v>24</v>
      </c>
      <c r="E4" s="65">
        <v>10</v>
      </c>
      <c r="F4" s="61" t="s">
        <v>25</v>
      </c>
      <c r="G4" s="62">
        <f>+E4*C4</f>
        <v>3048.7804878048782</v>
      </c>
      <c r="H4" s="6">
        <f>+G4*12</f>
        <v>36585.365853658543</v>
      </c>
    </row>
    <row r="5" spans="1:8" x14ac:dyDescent="0.25">
      <c r="A5" s="63" t="s">
        <v>26</v>
      </c>
      <c r="B5" s="20">
        <v>350000</v>
      </c>
      <c r="C5" s="61">
        <f>+B5/492</f>
        <v>711.3821138211382</v>
      </c>
      <c r="D5" s="69" t="s">
        <v>27</v>
      </c>
      <c r="E5" s="66">
        <v>5</v>
      </c>
      <c r="F5" s="60" t="s">
        <v>28</v>
      </c>
      <c r="G5" s="60">
        <f>+E5*C5</f>
        <v>3556.9105691056911</v>
      </c>
      <c r="H5" s="60">
        <f>+G5*12</f>
        <v>42682.926829268297</v>
      </c>
    </row>
    <row r="6" spans="1:8" x14ac:dyDescent="0.25">
      <c r="A6" s="64" t="s">
        <v>29</v>
      </c>
      <c r="B6" s="67"/>
      <c r="C6" s="60"/>
      <c r="D6" s="68"/>
      <c r="E6" s="65"/>
      <c r="F6" s="61"/>
      <c r="G6" s="62">
        <f>+D25</f>
        <v>20000</v>
      </c>
      <c r="H6" s="61">
        <f>+G6*12</f>
        <v>240000</v>
      </c>
    </row>
    <row r="7" spans="1:8" ht="15.75" thickBot="1" x14ac:dyDescent="0.3">
      <c r="A7" s="70" t="s">
        <v>30</v>
      </c>
      <c r="B7" s="71"/>
      <c r="C7" s="72"/>
      <c r="D7" s="73"/>
      <c r="E7" s="74"/>
      <c r="F7" s="72"/>
      <c r="G7" s="72"/>
      <c r="H7" s="72">
        <f>+C30</f>
        <v>2400</v>
      </c>
    </row>
    <row r="8" spans="1:8" ht="15.75" thickBot="1" x14ac:dyDescent="0.3">
      <c r="A8" s="110" t="s">
        <v>31</v>
      </c>
      <c r="B8" s="111"/>
      <c r="C8" s="75"/>
      <c r="D8" s="112"/>
      <c r="E8" s="113"/>
      <c r="F8" s="75"/>
      <c r="G8" s="75"/>
      <c r="H8" s="76">
        <f>+SUM(H4:H7)</f>
        <v>321668.29268292687</v>
      </c>
    </row>
    <row r="9" spans="1:8" ht="15.75" thickBot="1" x14ac:dyDescent="0.3">
      <c r="A9" s="3"/>
      <c r="B9" s="2"/>
      <c r="C9" s="2"/>
      <c r="D9" s="2"/>
      <c r="E9" s="2"/>
      <c r="F9" s="2"/>
      <c r="G9" s="2"/>
    </row>
    <row r="10" spans="1:8" x14ac:dyDescent="0.25">
      <c r="A10" s="98"/>
      <c r="B10" s="152" t="s">
        <v>14</v>
      </c>
      <c r="C10" s="153"/>
      <c r="D10" s="154"/>
      <c r="E10" s="155" t="s">
        <v>15</v>
      </c>
      <c r="F10" s="153"/>
      <c r="G10" s="153"/>
      <c r="H10" s="96" t="s">
        <v>16</v>
      </c>
    </row>
    <row r="11" spans="1:8" ht="15.75" thickBot="1" x14ac:dyDescent="0.3">
      <c r="A11" s="99" t="s">
        <v>32</v>
      </c>
      <c r="B11" s="100" t="s">
        <v>18</v>
      </c>
      <c r="C11" s="101" t="s">
        <v>16</v>
      </c>
      <c r="D11" s="97" t="s">
        <v>19</v>
      </c>
      <c r="E11" s="102" t="s">
        <v>20</v>
      </c>
      <c r="F11" s="101" t="s">
        <v>19</v>
      </c>
      <c r="G11" s="101" t="s">
        <v>21</v>
      </c>
      <c r="H11" s="97" t="s">
        <v>22</v>
      </c>
    </row>
    <row r="12" spans="1:8" x14ac:dyDescent="0.25">
      <c r="A12" s="91" t="s">
        <v>33</v>
      </c>
      <c r="B12" s="92"/>
      <c r="C12" s="93">
        <f>+B12/492</f>
        <v>0</v>
      </c>
      <c r="D12" s="94"/>
      <c r="E12" s="95"/>
      <c r="F12" s="93"/>
      <c r="G12" s="93">
        <f>+E12*C12</f>
        <v>0</v>
      </c>
      <c r="H12" s="94">
        <f t="shared" ref="H12:H17" si="0">+G12*12</f>
        <v>0</v>
      </c>
    </row>
    <row r="13" spans="1:8" x14ac:dyDescent="0.25">
      <c r="A13" s="89" t="s">
        <v>34</v>
      </c>
      <c r="B13" s="67">
        <v>5900</v>
      </c>
      <c r="C13" s="61">
        <f>+B13/492</f>
        <v>11.991869918699187</v>
      </c>
      <c r="D13" s="68" t="s">
        <v>35</v>
      </c>
      <c r="E13" s="65">
        <v>2</v>
      </c>
      <c r="F13" s="61" t="s">
        <v>36</v>
      </c>
      <c r="G13" s="61">
        <f>+E13*C13</f>
        <v>23.983739837398375</v>
      </c>
      <c r="H13" s="68">
        <f t="shared" si="0"/>
        <v>287.80487804878049</v>
      </c>
    </row>
    <row r="14" spans="1:8" x14ac:dyDescent="0.25">
      <c r="A14" s="89" t="s">
        <v>37</v>
      </c>
      <c r="B14" s="67"/>
      <c r="C14" s="61">
        <v>1650</v>
      </c>
      <c r="D14" s="68"/>
      <c r="E14" s="65"/>
      <c r="F14" s="61"/>
      <c r="G14" s="61">
        <f>+C14</f>
        <v>1650</v>
      </c>
      <c r="H14" s="68">
        <f t="shared" si="0"/>
        <v>19800</v>
      </c>
    </row>
    <row r="15" spans="1:8" x14ac:dyDescent="0.25">
      <c r="A15" s="89" t="s">
        <v>23</v>
      </c>
      <c r="B15" s="67">
        <v>150000</v>
      </c>
      <c r="C15" s="61">
        <f>+B15/492</f>
        <v>304.8780487804878</v>
      </c>
      <c r="D15" s="68" t="s">
        <v>24</v>
      </c>
      <c r="E15" s="65">
        <v>10</v>
      </c>
      <c r="F15" s="61" t="s">
        <v>25</v>
      </c>
      <c r="G15" s="62">
        <f>+E15*C15</f>
        <v>3048.7804878048782</v>
      </c>
      <c r="H15" s="68">
        <f t="shared" si="0"/>
        <v>36585.365853658543</v>
      </c>
    </row>
    <row r="16" spans="1:8" x14ac:dyDescent="0.25">
      <c r="A16" s="89" t="s">
        <v>26</v>
      </c>
      <c r="B16" s="20">
        <v>350000</v>
      </c>
      <c r="C16" s="61">
        <f>+B16/492</f>
        <v>711.3821138211382</v>
      </c>
      <c r="D16" s="69" t="s">
        <v>27</v>
      </c>
      <c r="E16" s="66">
        <v>5</v>
      </c>
      <c r="F16" s="60" t="s">
        <v>28</v>
      </c>
      <c r="G16" s="60">
        <f>+E16*C16</f>
        <v>3556.9105691056911</v>
      </c>
      <c r="H16" s="69">
        <f t="shared" si="0"/>
        <v>42682.926829268297</v>
      </c>
    </row>
    <row r="17" spans="1:8" ht="15.75" thickBot="1" x14ac:dyDescent="0.3">
      <c r="A17" s="89" t="s">
        <v>38</v>
      </c>
      <c r="B17" s="20"/>
      <c r="C17" s="61">
        <v>36</v>
      </c>
      <c r="D17" s="69" t="s">
        <v>39</v>
      </c>
      <c r="E17" s="66">
        <v>15</v>
      </c>
      <c r="F17" s="61" t="s">
        <v>39</v>
      </c>
      <c r="G17" s="60">
        <f>+C17*E17</f>
        <v>540</v>
      </c>
      <c r="H17" s="69">
        <f t="shared" si="0"/>
        <v>6480</v>
      </c>
    </row>
    <row r="18" spans="1:8" ht="15.75" thickBot="1" x14ac:dyDescent="0.3">
      <c r="A18" s="110" t="s">
        <v>31</v>
      </c>
      <c r="B18" s="111"/>
      <c r="C18" s="75"/>
      <c r="D18" s="112"/>
      <c r="E18" s="113"/>
      <c r="F18" s="75"/>
      <c r="G18" s="114"/>
      <c r="H18" s="76">
        <f>SUM(H12:H17)</f>
        <v>105836.09756097561</v>
      </c>
    </row>
    <row r="20" spans="1:8" ht="15.75" thickBot="1" x14ac:dyDescent="0.3">
      <c r="A20" s="43" t="s">
        <v>40</v>
      </c>
    </row>
    <row r="21" spans="1:8" ht="15.75" thickBot="1" x14ac:dyDescent="0.3">
      <c r="A21" s="131" t="s">
        <v>41</v>
      </c>
      <c r="B21" s="124" t="s">
        <v>42</v>
      </c>
      <c r="C21" s="122" t="s">
        <v>43</v>
      </c>
      <c r="D21" s="122" t="s">
        <v>44</v>
      </c>
      <c r="E21" s="123" t="s">
        <v>45</v>
      </c>
    </row>
    <row r="22" spans="1:8" x14ac:dyDescent="0.25">
      <c r="A22" s="128" t="s">
        <v>46</v>
      </c>
      <c r="B22" s="125">
        <f>1/1000</f>
        <v>1E-3</v>
      </c>
      <c r="C22" s="120">
        <v>1000000</v>
      </c>
      <c r="D22" s="119">
        <f>+C22*B22</f>
        <v>1000</v>
      </c>
      <c r="E22" s="121">
        <f>+D22/$D$25</f>
        <v>0.05</v>
      </c>
    </row>
    <row r="23" spans="1:8" x14ac:dyDescent="0.25">
      <c r="A23" s="129" t="s">
        <v>47</v>
      </c>
      <c r="B23" s="126">
        <f>15/1000</f>
        <v>1.4999999999999999E-2</v>
      </c>
      <c r="C23" s="6">
        <v>1000000</v>
      </c>
      <c r="D23" s="7">
        <f t="shared" ref="D23:D24" si="1">+C23*B23</f>
        <v>15000</v>
      </c>
      <c r="E23" s="115">
        <f>+D23/$D$25</f>
        <v>0.75</v>
      </c>
    </row>
    <row r="24" spans="1:8" ht="15.75" thickBot="1" x14ac:dyDescent="0.3">
      <c r="A24" s="130" t="s">
        <v>48</v>
      </c>
      <c r="B24" s="127">
        <f>4/1000</f>
        <v>4.0000000000000001E-3</v>
      </c>
      <c r="C24" s="117">
        <v>1000000</v>
      </c>
      <c r="D24" s="116">
        <f t="shared" si="1"/>
        <v>4000</v>
      </c>
      <c r="E24" s="118">
        <f>+D24/$D$25</f>
        <v>0.2</v>
      </c>
    </row>
    <row r="25" spans="1:8" x14ac:dyDescent="0.25">
      <c r="D25" s="8">
        <f>SUM(D22:D24)</f>
        <v>20000</v>
      </c>
    </row>
    <row r="26" spans="1:8" ht="15.75" thickBot="1" x14ac:dyDescent="0.3">
      <c r="A26" s="43" t="s">
        <v>49</v>
      </c>
    </row>
    <row r="27" spans="1:8" x14ac:dyDescent="0.25">
      <c r="A27" s="18"/>
      <c r="B27" s="132" t="s">
        <v>50</v>
      </c>
      <c r="C27" s="133" t="s">
        <v>51</v>
      </c>
    </row>
    <row r="28" spans="1:8" x14ac:dyDescent="0.25">
      <c r="A28" s="20" t="s">
        <v>52</v>
      </c>
      <c r="B28" s="60">
        <v>100</v>
      </c>
      <c r="C28" s="69">
        <f>+B28*12</f>
        <v>1200</v>
      </c>
    </row>
    <row r="29" spans="1:8" x14ac:dyDescent="0.25">
      <c r="A29" s="20" t="s">
        <v>53</v>
      </c>
      <c r="B29" s="60">
        <v>100</v>
      </c>
      <c r="C29" s="69">
        <f>+B29*12</f>
        <v>1200</v>
      </c>
    </row>
    <row r="30" spans="1:8" ht="15.75" thickBot="1" x14ac:dyDescent="0.3">
      <c r="A30" s="90" t="s">
        <v>54</v>
      </c>
      <c r="B30" s="88"/>
      <c r="C30" s="134">
        <f>SUM(C28:C29)</f>
        <v>2400</v>
      </c>
    </row>
  </sheetData>
  <mergeCells count="4">
    <mergeCell ref="B2:D2"/>
    <mergeCell ref="E2:G2"/>
    <mergeCell ref="B10:D10"/>
    <mergeCell ref="E10:G1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40CD-B618-4305-87A4-E82CAFAB48DE}">
  <dimension ref="A1:C9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61" bestFit="1" customWidth="1"/>
    <col min="2" max="3" width="13.28515625" bestFit="1" customWidth="1"/>
  </cols>
  <sheetData>
    <row r="1" spans="1:3" x14ac:dyDescent="0.25">
      <c r="A1" s="52" t="s">
        <v>55</v>
      </c>
      <c r="B1" s="52" t="s">
        <v>56</v>
      </c>
      <c r="C1" s="52" t="s">
        <v>57</v>
      </c>
    </row>
    <row r="2" spans="1:3" x14ac:dyDescent="0.25">
      <c r="A2" s="7" t="s">
        <v>58</v>
      </c>
      <c r="B2" s="7"/>
      <c r="C2" s="7">
        <f>+B9</f>
        <v>50000</v>
      </c>
    </row>
    <row r="3" spans="1:3" x14ac:dyDescent="0.25">
      <c r="A3" s="7" t="s">
        <v>59</v>
      </c>
      <c r="B3" s="7">
        <f>300000*('Lista de costos'!E4+'Lista de costos'!E5)</f>
        <v>4500000</v>
      </c>
      <c r="C3" s="42">
        <f>+B3/492</f>
        <v>9146.3414634146338</v>
      </c>
    </row>
    <row r="4" spans="1:3" x14ac:dyDescent="0.25">
      <c r="A4" s="16" t="s">
        <v>31</v>
      </c>
      <c r="B4" s="16">
        <f>SUM(B2:B3)</f>
        <v>4500000</v>
      </c>
      <c r="C4" s="54">
        <f>SUM(C2:C3)</f>
        <v>59146.341463414632</v>
      </c>
    </row>
    <row r="6" spans="1:3" x14ac:dyDescent="0.25">
      <c r="A6" s="43" t="s">
        <v>60</v>
      </c>
    </row>
    <row r="7" spans="1:3" x14ac:dyDescent="0.25">
      <c r="A7" t="s">
        <v>61</v>
      </c>
      <c r="B7">
        <v>500</v>
      </c>
    </row>
    <row r="8" spans="1:3" x14ac:dyDescent="0.25">
      <c r="A8" t="s">
        <v>62</v>
      </c>
      <c r="B8">
        <v>100</v>
      </c>
    </row>
    <row r="9" spans="1:3" x14ac:dyDescent="0.25">
      <c r="A9" s="4" t="s">
        <v>63</v>
      </c>
      <c r="B9" s="55">
        <f>+B8*B7</f>
        <v>50000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34B0F-6B56-420F-A6B7-96C0B1079F58}">
  <dimension ref="A1:R80"/>
  <sheetViews>
    <sheetView tabSelected="1" workbookViewId="0">
      <selection activeCell="E10" sqref="E10"/>
    </sheetView>
  </sheetViews>
  <sheetFormatPr baseColWidth="10" defaultColWidth="11.42578125" defaultRowHeight="15" x14ac:dyDescent="0.25"/>
  <cols>
    <col min="1" max="1" width="58.7109375" bestFit="1" customWidth="1"/>
    <col min="2" max="2" width="16.85546875" bestFit="1" customWidth="1"/>
    <col min="3" max="4" width="12.7109375" customWidth="1"/>
    <col min="5" max="7" width="13.5703125" bestFit="1" customWidth="1"/>
    <col min="9" max="9" width="16.85546875" bestFit="1" customWidth="1"/>
  </cols>
  <sheetData>
    <row r="1" spans="1:18" x14ac:dyDescent="0.25">
      <c r="A1" s="4" t="s">
        <v>99</v>
      </c>
    </row>
    <row r="2" spans="1:18" ht="15.75" thickBot="1" x14ac:dyDescent="0.3">
      <c r="A2" s="4"/>
    </row>
    <row r="3" spans="1:18" ht="15.75" thickBot="1" x14ac:dyDescent="0.3">
      <c r="A3" s="173" t="s">
        <v>100</v>
      </c>
      <c r="B3" s="174"/>
    </row>
    <row r="4" spans="1:18" x14ac:dyDescent="0.25">
      <c r="A4" s="40" t="s">
        <v>101</v>
      </c>
      <c r="B4" s="41">
        <v>248</v>
      </c>
      <c r="C4" t="s">
        <v>102</v>
      </c>
    </row>
    <row r="5" spans="1:18" x14ac:dyDescent="0.25">
      <c r="A5" s="38" t="s">
        <v>103</v>
      </c>
      <c r="B5" s="39">
        <v>3</v>
      </c>
    </row>
    <row r="6" spans="1:18" x14ac:dyDescent="0.25">
      <c r="A6" s="38" t="s">
        <v>104</v>
      </c>
      <c r="B6" s="39">
        <f>+B4*B5</f>
        <v>744</v>
      </c>
    </row>
    <row r="7" spans="1:18" ht="15.75" thickBot="1" x14ac:dyDescent="0.3">
      <c r="A7" s="51" t="s">
        <v>105</v>
      </c>
      <c r="B7" s="59">
        <v>4.0000000000000001E-3</v>
      </c>
      <c r="D7" s="135"/>
    </row>
    <row r="8" spans="1:18" ht="15.75" thickBot="1" x14ac:dyDescent="0.3">
      <c r="D8" s="136"/>
      <c r="E8" s="5"/>
    </row>
    <row r="9" spans="1:18" ht="15.75" thickBot="1" x14ac:dyDescent="0.3">
      <c r="A9" s="171" t="s">
        <v>106</v>
      </c>
      <c r="B9" s="172"/>
    </row>
    <row r="10" spans="1:18" x14ac:dyDescent="0.25">
      <c r="A10" s="18" t="s">
        <v>107</v>
      </c>
      <c r="B10" s="19">
        <v>14840010</v>
      </c>
    </row>
    <row r="11" spans="1:18" ht="15.75" thickBot="1" x14ac:dyDescent="0.3">
      <c r="A11" s="20" t="s">
        <v>108</v>
      </c>
      <c r="B11" s="21">
        <v>3.7999999999999999E-2</v>
      </c>
    </row>
    <row r="12" spans="1:18" ht="15.75" thickBot="1" x14ac:dyDescent="0.3">
      <c r="A12" s="14" t="s">
        <v>109</v>
      </c>
      <c r="B12" s="15">
        <f>+B10*(1-B11)</f>
        <v>14276089.619999999</v>
      </c>
    </row>
    <row r="13" spans="1:18" ht="15.75" thickBot="1" x14ac:dyDescent="0.3">
      <c r="A13" s="22" t="s">
        <v>110</v>
      </c>
      <c r="B13" s="23">
        <v>9.1999999999999998E-2</v>
      </c>
    </row>
    <row r="14" spans="1:18" ht="15.75" thickBot="1" x14ac:dyDescent="0.3">
      <c r="A14" s="14" t="s">
        <v>111</v>
      </c>
      <c r="B14" s="15">
        <f>+B13*B12</f>
        <v>1313400.24504</v>
      </c>
    </row>
    <row r="15" spans="1:18" x14ac:dyDescent="0.25">
      <c r="A15" s="11" t="s">
        <v>112</v>
      </c>
      <c r="B15" s="24">
        <f>1200000</f>
        <v>1200000</v>
      </c>
    </row>
    <row r="16" spans="1:18" ht="15.75" customHeight="1" thickBot="1" x14ac:dyDescent="0.3">
      <c r="A16" s="12" t="s">
        <v>113</v>
      </c>
      <c r="B16" s="13">
        <f>100%-81%</f>
        <v>0.18999999999999995</v>
      </c>
      <c r="R16" s="9" t="s">
        <v>2</v>
      </c>
    </row>
    <row r="17" spans="1:18" ht="15.75" customHeight="1" thickBot="1" x14ac:dyDescent="0.3">
      <c r="A17" s="57" t="s">
        <v>114</v>
      </c>
      <c r="B17" s="58">
        <f>+B15*B16</f>
        <v>227999.99999999994</v>
      </c>
      <c r="R17" s="9"/>
    </row>
    <row r="18" spans="1:18" ht="15.75" customHeight="1" thickBot="1" x14ac:dyDescent="0.3">
      <c r="A18" s="77" t="s">
        <v>115</v>
      </c>
      <c r="B18" s="78">
        <f>+B17+B14</f>
        <v>1541400.24504</v>
      </c>
      <c r="R18" s="9"/>
    </row>
    <row r="19" spans="1:18" ht="15.75" customHeight="1" x14ac:dyDescent="0.25">
      <c r="A19" s="79" t="s">
        <v>116</v>
      </c>
      <c r="B19" s="80">
        <v>0.44030000000000002</v>
      </c>
      <c r="R19" s="56"/>
    </row>
    <row r="20" spans="1:18" ht="15.75" customHeight="1" x14ac:dyDescent="0.25">
      <c r="A20" s="81" t="s">
        <v>117</v>
      </c>
      <c r="B20" s="82">
        <v>0.29220000000000002</v>
      </c>
      <c r="R20" s="56"/>
    </row>
    <row r="21" spans="1:18" ht="15.75" customHeight="1" thickBot="1" x14ac:dyDescent="0.3">
      <c r="A21" s="83" t="s">
        <v>118</v>
      </c>
      <c r="B21" s="84">
        <v>0.26750000000000002</v>
      </c>
      <c r="R21" s="56"/>
    </row>
    <row r="22" spans="1:18" ht="15" customHeight="1" thickBot="1" x14ac:dyDescent="0.3">
      <c r="A22" s="85" t="s">
        <v>119</v>
      </c>
      <c r="B22" s="86">
        <f>+B18*(B19+B20)</f>
        <v>1129075.6794918</v>
      </c>
      <c r="R22" s="56"/>
    </row>
    <row r="23" spans="1:18" ht="15.75" customHeight="1" x14ac:dyDescent="0.25">
      <c r="A23" s="4"/>
      <c r="B23" s="37"/>
      <c r="R23" s="56"/>
    </row>
    <row r="24" spans="1:18" ht="15.75" customHeight="1" x14ac:dyDescent="0.25">
      <c r="A24" s="33" t="s">
        <v>120</v>
      </c>
      <c r="B24" s="34">
        <v>1</v>
      </c>
      <c r="C24" s="34">
        <v>2</v>
      </c>
      <c r="D24" s="34">
        <v>3</v>
      </c>
      <c r="E24" s="34">
        <v>4</v>
      </c>
      <c r="F24" s="34">
        <v>5</v>
      </c>
      <c r="R24" s="9"/>
    </row>
    <row r="25" spans="1:18" ht="15.75" customHeight="1" x14ac:dyDescent="0.25">
      <c r="A25" s="35" t="s">
        <v>121</v>
      </c>
      <c r="B25" s="34">
        <v>2025</v>
      </c>
      <c r="C25" s="47">
        <v>2026</v>
      </c>
      <c r="D25" s="34">
        <v>2027</v>
      </c>
      <c r="E25" s="47">
        <v>2028</v>
      </c>
      <c r="F25" s="34">
        <v>2029</v>
      </c>
      <c r="R25" s="9"/>
    </row>
    <row r="26" spans="1:18" ht="15.75" customHeight="1" x14ac:dyDescent="0.25">
      <c r="A26" s="25" t="s">
        <v>122</v>
      </c>
      <c r="B26" s="26">
        <f>+B22</f>
        <v>1129075.6794918</v>
      </c>
      <c r="C26" s="26">
        <f>+B26*(1+C27)</f>
        <v>1142624.5876457016</v>
      </c>
      <c r="D26" s="26">
        <f t="shared" ref="D26:F26" si="0">+C26*(1+D27)</f>
        <v>1156336.08269745</v>
      </c>
      <c r="E26" s="26">
        <f t="shared" si="0"/>
        <v>1170212.1156898194</v>
      </c>
      <c r="F26" s="26">
        <f t="shared" si="0"/>
        <v>1184254.6610780973</v>
      </c>
      <c r="R26" s="9"/>
    </row>
    <row r="27" spans="1:18" ht="15.75" customHeight="1" x14ac:dyDescent="0.25">
      <c r="A27" s="27" t="s">
        <v>123</v>
      </c>
      <c r="B27" s="26" t="s">
        <v>124</v>
      </c>
      <c r="C27" s="28">
        <v>1.2E-2</v>
      </c>
      <c r="D27" s="28">
        <v>1.2E-2</v>
      </c>
      <c r="E27" s="28">
        <v>1.2E-2</v>
      </c>
      <c r="F27" s="28">
        <v>1.2E-2</v>
      </c>
      <c r="R27" s="9"/>
    </row>
    <row r="28" spans="1:18" ht="15.75" customHeight="1" x14ac:dyDescent="0.25">
      <c r="A28" s="29" t="s">
        <v>125</v>
      </c>
      <c r="B28" s="30">
        <v>0.1</v>
      </c>
      <c r="C28" s="30">
        <f>+B28+C29</f>
        <v>0.125</v>
      </c>
      <c r="D28" s="30">
        <f t="shared" ref="D28:F28" si="1">+C28+D29</f>
        <v>0.15</v>
      </c>
      <c r="E28" s="30">
        <f t="shared" si="1"/>
        <v>0.17499999999999999</v>
      </c>
      <c r="F28" s="30">
        <f t="shared" si="1"/>
        <v>0.19999999999999998</v>
      </c>
      <c r="R28" s="9"/>
    </row>
    <row r="29" spans="1:18" ht="15.75" customHeight="1" x14ac:dyDescent="0.25">
      <c r="A29" s="31" t="s">
        <v>126</v>
      </c>
      <c r="B29" s="30" t="s">
        <v>124</v>
      </c>
      <c r="C29" s="87">
        <v>2.5000000000000001E-2</v>
      </c>
      <c r="D29" s="87">
        <v>2.5000000000000001E-2</v>
      </c>
      <c r="E29" s="87">
        <v>2.5000000000000001E-2</v>
      </c>
      <c r="F29" s="87">
        <v>2.5000000000000001E-2</v>
      </c>
      <c r="R29" s="9"/>
    </row>
    <row r="30" spans="1:18" ht="15.75" customHeight="1" x14ac:dyDescent="0.25">
      <c r="A30" s="7" t="s">
        <v>127</v>
      </c>
      <c r="B30" s="6">
        <f>+B28*B26</f>
        <v>112907.56794918001</v>
      </c>
      <c r="C30" s="6">
        <f t="shared" ref="C30:F30" si="2">+C28*C26</f>
        <v>142828.0734557127</v>
      </c>
      <c r="D30" s="6">
        <f t="shared" si="2"/>
        <v>173450.4124046175</v>
      </c>
      <c r="E30" s="6">
        <f t="shared" si="2"/>
        <v>204787.1202457184</v>
      </c>
      <c r="F30" s="6">
        <f t="shared" si="2"/>
        <v>236850.93221561945</v>
      </c>
      <c r="R30" s="9"/>
    </row>
    <row r="31" spans="1:18" ht="15.75" customHeight="1" x14ac:dyDescent="0.25">
      <c r="A31" s="16" t="s">
        <v>128</v>
      </c>
      <c r="B31" s="17">
        <f>+B30*$B$6</f>
        <v>84003230.554189935</v>
      </c>
      <c r="C31" s="17">
        <f>+C30*$B$6</f>
        <v>106264086.65105025</v>
      </c>
      <c r="D31" s="17">
        <f>+D30*$B$6</f>
        <v>129047106.82903542</v>
      </c>
      <c r="E31" s="17">
        <f>+E30*$B$6</f>
        <v>152361617.46281448</v>
      </c>
      <c r="F31" s="17">
        <f>+F30*$B$6</f>
        <v>176217093.56842089</v>
      </c>
      <c r="R31" s="9"/>
    </row>
    <row r="32" spans="1:18" ht="15.75" customHeight="1" x14ac:dyDescent="0.25">
      <c r="A32" s="16" t="s">
        <v>129</v>
      </c>
      <c r="B32" s="17">
        <f>+B31*$B$7</f>
        <v>336012.92221675976</v>
      </c>
      <c r="C32" s="17">
        <f t="shared" ref="C32:E32" si="3">+C31*$B$7</f>
        <v>425056.34660420101</v>
      </c>
      <c r="D32" s="17">
        <f t="shared" si="3"/>
        <v>516188.42731614166</v>
      </c>
      <c r="E32" s="17">
        <f t="shared" si="3"/>
        <v>609446.46985125798</v>
      </c>
      <c r="F32" s="17">
        <f>+F31*$B$7</f>
        <v>704868.37427368353</v>
      </c>
      <c r="R32" s="9"/>
    </row>
    <row r="33" spans="1:18" ht="15.75" customHeight="1" x14ac:dyDescent="0.25">
      <c r="A33" s="4"/>
      <c r="B33" s="37"/>
      <c r="C33" s="37"/>
      <c r="D33" s="37"/>
      <c r="E33" s="37"/>
      <c r="F33" s="37"/>
      <c r="R33" s="9"/>
    </row>
    <row r="34" spans="1:18" ht="15.75" customHeight="1" x14ac:dyDescent="0.25">
      <c r="A34" s="4" t="s">
        <v>130</v>
      </c>
      <c r="B34" s="5"/>
      <c r="R34" s="9"/>
    </row>
    <row r="35" spans="1:18" ht="15.75" customHeight="1" x14ac:dyDescent="0.25">
      <c r="R35" s="9"/>
    </row>
    <row r="36" spans="1:18" ht="15.75" customHeight="1" x14ac:dyDescent="0.25">
      <c r="A36" s="33" t="s">
        <v>120</v>
      </c>
      <c r="B36" s="34">
        <v>1</v>
      </c>
      <c r="C36" s="34">
        <v>2</v>
      </c>
      <c r="D36" s="34">
        <v>3</v>
      </c>
      <c r="E36" s="34">
        <v>4</v>
      </c>
      <c r="F36" s="34">
        <v>5</v>
      </c>
      <c r="R36" s="9"/>
    </row>
    <row r="37" spans="1:18" ht="15.75" customHeight="1" x14ac:dyDescent="0.25">
      <c r="A37" s="35" t="s">
        <v>121</v>
      </c>
      <c r="B37" s="34">
        <v>2025</v>
      </c>
      <c r="C37" s="47">
        <v>2026</v>
      </c>
      <c r="D37" s="34">
        <v>2027</v>
      </c>
      <c r="E37" s="47">
        <v>2028</v>
      </c>
      <c r="F37" s="34">
        <v>2029</v>
      </c>
      <c r="R37" s="9"/>
    </row>
    <row r="38" spans="1:18" ht="15.75" customHeight="1" x14ac:dyDescent="0.25">
      <c r="A38" s="7" t="s">
        <v>131</v>
      </c>
      <c r="B38" s="6">
        <f>+B32</f>
        <v>336012.92221675976</v>
      </c>
      <c r="C38" s="6">
        <f>+C32</f>
        <v>425056.34660420101</v>
      </c>
      <c r="D38" s="6">
        <f>+D32</f>
        <v>516188.42731614166</v>
      </c>
      <c r="E38" s="6">
        <f>+E32</f>
        <v>609446.46985125798</v>
      </c>
      <c r="F38" s="6">
        <f>+F32</f>
        <v>704868.37427368353</v>
      </c>
    </row>
    <row r="39" spans="1:18" x14ac:dyDescent="0.25">
      <c r="A39" s="7" t="s">
        <v>132</v>
      </c>
      <c r="B39" s="6"/>
      <c r="C39" s="7"/>
      <c r="D39" s="7"/>
      <c r="E39" s="7"/>
      <c r="F39" s="7"/>
    </row>
    <row r="40" spans="1:18" x14ac:dyDescent="0.25">
      <c r="A40" s="7" t="s">
        <v>133</v>
      </c>
      <c r="B40" s="6"/>
      <c r="C40" s="7"/>
      <c r="D40" s="7"/>
      <c r="E40" s="7"/>
      <c r="F40" s="7"/>
    </row>
    <row r="41" spans="1:18" x14ac:dyDescent="0.25">
      <c r="A41" s="16" t="s">
        <v>134</v>
      </c>
      <c r="B41" s="6">
        <f>+SUM(B38:B40)</f>
        <v>336012.92221675976</v>
      </c>
      <c r="C41" s="6">
        <f t="shared" ref="C41:F41" si="4">+SUM(C38:C40)</f>
        <v>425056.34660420101</v>
      </c>
      <c r="D41" s="6">
        <f t="shared" si="4"/>
        <v>516188.42731614166</v>
      </c>
      <c r="E41" s="6">
        <f t="shared" si="4"/>
        <v>609446.46985125798</v>
      </c>
      <c r="F41" s="6">
        <f t="shared" si="4"/>
        <v>704868.37427368353</v>
      </c>
    </row>
    <row r="42" spans="1:18" x14ac:dyDescent="0.25">
      <c r="A42" s="7" t="s">
        <v>135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</row>
    <row r="43" spans="1:18" x14ac:dyDescent="0.25">
      <c r="A43" s="16" t="s">
        <v>136</v>
      </c>
      <c r="B43" s="17">
        <f>+B41-B42</f>
        <v>336012.92221675976</v>
      </c>
      <c r="C43" s="17">
        <f t="shared" ref="C43:F43" si="5">+C41-C42</f>
        <v>425056.34660420101</v>
      </c>
      <c r="D43" s="17">
        <f t="shared" si="5"/>
        <v>516188.42731614166</v>
      </c>
      <c r="E43" s="17">
        <f t="shared" si="5"/>
        <v>609446.46985125798</v>
      </c>
      <c r="F43" s="17">
        <f t="shared" si="5"/>
        <v>704868.37427368353</v>
      </c>
    </row>
    <row r="44" spans="1:18" x14ac:dyDescent="0.25">
      <c r="A44" s="32" t="s">
        <v>137</v>
      </c>
      <c r="B44" s="45">
        <f>+B43/B41</f>
        <v>1</v>
      </c>
      <c r="C44" s="45">
        <f t="shared" ref="C44:F44" si="6">+C43/C41</f>
        <v>1</v>
      </c>
      <c r="D44" s="45">
        <f t="shared" si="6"/>
        <v>1</v>
      </c>
      <c r="E44" s="45">
        <f t="shared" si="6"/>
        <v>1</v>
      </c>
      <c r="F44" s="45">
        <f t="shared" si="6"/>
        <v>1</v>
      </c>
    </row>
    <row r="45" spans="1:18" x14ac:dyDescent="0.25">
      <c r="A45" s="7" t="s">
        <v>138</v>
      </c>
      <c r="B45">
        <v>0</v>
      </c>
      <c r="C45" s="7"/>
      <c r="D45" s="7"/>
      <c r="E45" s="7"/>
      <c r="F45" s="7"/>
    </row>
    <row r="46" spans="1:18" x14ac:dyDescent="0.25">
      <c r="A46" s="7" t="s">
        <v>139</v>
      </c>
      <c r="B46" s="6">
        <f>+'Lista de costos'!H6</f>
        <v>240000</v>
      </c>
      <c r="C46" s="6">
        <f>+B46</f>
        <v>240000</v>
      </c>
      <c r="D46" s="6">
        <f t="shared" ref="D46:F46" si="7">+C46</f>
        <v>240000</v>
      </c>
      <c r="E46" s="6">
        <f t="shared" si="7"/>
        <v>240000</v>
      </c>
      <c r="F46" s="6">
        <f t="shared" si="7"/>
        <v>240000</v>
      </c>
    </row>
    <row r="47" spans="1:18" x14ac:dyDescent="0.25">
      <c r="A47" s="7" t="s">
        <v>140</v>
      </c>
      <c r="B47" s="6">
        <f>+'Lista de costos'!H13</f>
        <v>287.80487804878049</v>
      </c>
      <c r="C47" s="6">
        <f>+B47*1.25</f>
        <v>359.7560975609756</v>
      </c>
      <c r="D47" s="6">
        <f>+C47*1.25</f>
        <v>449.69512195121951</v>
      </c>
      <c r="E47" s="6">
        <f>+D47*1.25</f>
        <v>562.1189024390244</v>
      </c>
      <c r="F47" s="6">
        <f>+E47*1.25</f>
        <v>702.64862804878044</v>
      </c>
    </row>
    <row r="48" spans="1:18" x14ac:dyDescent="0.25">
      <c r="A48" s="7" t="s">
        <v>141</v>
      </c>
      <c r="B48" s="6">
        <f>+'Lista de costos'!H4+'Lista de costos'!H5+'Lista de costos'!H17</f>
        <v>85748.29268292684</v>
      </c>
      <c r="C48" s="6">
        <f>+B48</f>
        <v>85748.29268292684</v>
      </c>
      <c r="D48" s="6">
        <f t="shared" ref="D48:F48" si="8">+C48</f>
        <v>85748.29268292684</v>
      </c>
      <c r="E48" s="6">
        <f t="shared" si="8"/>
        <v>85748.29268292684</v>
      </c>
      <c r="F48" s="6">
        <f t="shared" si="8"/>
        <v>85748.29268292684</v>
      </c>
    </row>
    <row r="49" spans="1:7" x14ac:dyDescent="0.25">
      <c r="A49" s="7" t="s">
        <v>142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</row>
    <row r="50" spans="1:7" x14ac:dyDescent="0.25">
      <c r="A50" s="7" t="s">
        <v>143</v>
      </c>
      <c r="B50" s="42">
        <f>+'Lista de costos'!H14</f>
        <v>19800</v>
      </c>
      <c r="C50" s="42">
        <f>+B50</f>
        <v>19800</v>
      </c>
      <c r="D50" s="42">
        <f t="shared" ref="D50:F50" si="9">+C50</f>
        <v>19800</v>
      </c>
      <c r="E50" s="42">
        <f t="shared" si="9"/>
        <v>19800</v>
      </c>
      <c r="F50" s="42">
        <f t="shared" si="9"/>
        <v>19800</v>
      </c>
    </row>
    <row r="51" spans="1:7" x14ac:dyDescent="0.25">
      <c r="A51" s="7" t="s">
        <v>49</v>
      </c>
      <c r="B51" s="48">
        <f>+'Lista de costos'!$H$7</f>
        <v>2400</v>
      </c>
      <c r="C51" s="48">
        <f>+'Lista de costos'!$H$7</f>
        <v>2400</v>
      </c>
      <c r="D51" s="48">
        <f>+'Lista de costos'!$H$7</f>
        <v>2400</v>
      </c>
      <c r="E51" s="48">
        <f>+'Lista de costos'!$H$7</f>
        <v>2400</v>
      </c>
      <c r="F51" s="48">
        <f>+'Lista de costos'!$H$7</f>
        <v>2400</v>
      </c>
    </row>
    <row r="52" spans="1:7" x14ac:dyDescent="0.25">
      <c r="A52" s="7" t="s">
        <v>144</v>
      </c>
      <c r="B52" s="42">
        <f>+Inversiones!C3/6</f>
        <v>1524.3902439024389</v>
      </c>
      <c r="C52" s="42">
        <f>+B52</f>
        <v>1524.3902439024389</v>
      </c>
      <c r="D52" s="42">
        <f t="shared" ref="D52:F52" si="10">+C52</f>
        <v>1524.3902439024389</v>
      </c>
      <c r="E52" s="42">
        <f t="shared" si="10"/>
        <v>1524.3902439024389</v>
      </c>
      <c r="F52" s="42">
        <f t="shared" si="10"/>
        <v>1524.3902439024389</v>
      </c>
    </row>
    <row r="53" spans="1:7" x14ac:dyDescent="0.25">
      <c r="A53" s="16" t="s">
        <v>145</v>
      </c>
      <c r="B53" s="6">
        <f>+B43-SUM(B45:B52)</f>
        <v>-13747.565588118276</v>
      </c>
      <c r="C53" s="6">
        <f t="shared" ref="C53:F53" si="11">+C43-SUM(C45:C52)</f>
        <v>75223.907579810708</v>
      </c>
      <c r="D53" s="6">
        <f t="shared" si="11"/>
        <v>166266.04926736117</v>
      </c>
      <c r="E53" s="6">
        <f t="shared" si="11"/>
        <v>259411.66802198964</v>
      </c>
      <c r="F53" s="6">
        <f t="shared" si="11"/>
        <v>354693.04271880549</v>
      </c>
    </row>
    <row r="54" spans="1:7" x14ac:dyDescent="0.25">
      <c r="A54" s="32" t="s">
        <v>146</v>
      </c>
      <c r="B54" s="44">
        <f>+B53/B41</f>
        <v>-4.0913800271198529E-2</v>
      </c>
      <c r="C54" s="44">
        <f t="shared" ref="C54:F54" si="12">+C53/C41</f>
        <v>0.17697396634770596</v>
      </c>
      <c r="D54" s="44">
        <f t="shared" si="12"/>
        <v>0.3221034034641983</v>
      </c>
      <c r="E54" s="44">
        <f t="shared" si="12"/>
        <v>0.42565127678121079</v>
      </c>
      <c r="F54" s="44">
        <f t="shared" si="12"/>
        <v>0.50320464878891935</v>
      </c>
    </row>
    <row r="55" spans="1:7" x14ac:dyDescent="0.25">
      <c r="A55" s="7" t="s">
        <v>147</v>
      </c>
      <c r="B55" s="6">
        <f>+B53*35%</f>
        <v>-4811.6479558413957</v>
      </c>
      <c r="C55" s="6">
        <f t="shared" ref="C55:F55" si="13">+C53*35%</f>
        <v>26328.367652933746</v>
      </c>
      <c r="D55" s="6">
        <f t="shared" si="13"/>
        <v>58193.117243576409</v>
      </c>
      <c r="E55" s="6">
        <f t="shared" si="13"/>
        <v>90794.08380769637</v>
      </c>
      <c r="F55" s="6">
        <f t="shared" si="13"/>
        <v>124142.56495158191</v>
      </c>
    </row>
    <row r="56" spans="1:7" x14ac:dyDescent="0.25">
      <c r="A56" s="7" t="s">
        <v>148</v>
      </c>
      <c r="B56" s="6">
        <f>+B53-B55</f>
        <v>-8935.9176322768799</v>
      </c>
      <c r="C56" s="6">
        <f t="shared" ref="C56:F56" si="14">+C53-C55</f>
        <v>48895.539926876962</v>
      </c>
      <c r="D56" s="6">
        <f t="shared" si="14"/>
        <v>108072.93202378476</v>
      </c>
      <c r="E56" s="6">
        <f t="shared" si="14"/>
        <v>168617.58421429328</v>
      </c>
      <c r="F56" s="6">
        <f t="shared" si="14"/>
        <v>230550.47776722358</v>
      </c>
    </row>
    <row r="57" spans="1:7" x14ac:dyDescent="0.25">
      <c r="A57" s="32" t="s">
        <v>149</v>
      </c>
      <c r="B57" s="44">
        <f>+B56/B41</f>
        <v>-2.6593970176279045E-2</v>
      </c>
      <c r="C57" s="44">
        <f t="shared" ref="C57:F57" si="15">+C56/C41</f>
        <v>0.11503307812600887</v>
      </c>
      <c r="D57" s="44">
        <f t="shared" si="15"/>
        <v>0.20936721225172888</v>
      </c>
      <c r="E57" s="44">
        <f t="shared" si="15"/>
        <v>0.27667332990778704</v>
      </c>
      <c r="F57" s="44">
        <f t="shared" si="15"/>
        <v>0.32708302171279763</v>
      </c>
    </row>
    <row r="59" spans="1:7" x14ac:dyDescent="0.25">
      <c r="A59" s="4" t="s">
        <v>150</v>
      </c>
    </row>
    <row r="61" spans="1:7" x14ac:dyDescent="0.25">
      <c r="A61" s="35" t="s">
        <v>120</v>
      </c>
      <c r="B61" s="47">
        <v>0</v>
      </c>
      <c r="C61" s="36">
        <v>1</v>
      </c>
      <c r="D61" s="36">
        <v>2</v>
      </c>
      <c r="E61" s="36">
        <v>3</v>
      </c>
      <c r="F61" s="36">
        <v>4</v>
      </c>
      <c r="G61" s="36">
        <v>5</v>
      </c>
    </row>
    <row r="62" spans="1:7" x14ac:dyDescent="0.25">
      <c r="A62" s="46" t="s">
        <v>121</v>
      </c>
      <c r="B62" s="47">
        <v>2024</v>
      </c>
      <c r="C62" s="34">
        <v>2025</v>
      </c>
      <c r="D62" s="47">
        <v>2026</v>
      </c>
      <c r="E62" s="34">
        <v>2027</v>
      </c>
      <c r="F62" s="47">
        <v>2028</v>
      </c>
      <c r="G62" s="34">
        <v>2029</v>
      </c>
    </row>
    <row r="63" spans="1:7" x14ac:dyDescent="0.25">
      <c r="A63" s="7" t="s">
        <v>151</v>
      </c>
      <c r="B63" s="49">
        <v>0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</row>
    <row r="64" spans="1:7" x14ac:dyDescent="0.25">
      <c r="A64" s="7" t="s">
        <v>152</v>
      </c>
      <c r="B64" s="42">
        <f>-Inversiones!C4</f>
        <v>-59146.341463414632</v>
      </c>
      <c r="C64" s="7">
        <v>0</v>
      </c>
      <c r="D64" s="7">
        <v>0</v>
      </c>
      <c r="E64" s="7">
        <v>0</v>
      </c>
      <c r="F64" s="7"/>
      <c r="G64" s="7">
        <v>0</v>
      </c>
    </row>
    <row r="65" spans="1:7" x14ac:dyDescent="0.25">
      <c r="A65" s="7" t="s">
        <v>54</v>
      </c>
      <c r="B65" s="42">
        <f>SUM(B63:B64)</f>
        <v>-59146.341463414632</v>
      </c>
      <c r="C65" s="7">
        <f>+C63+C64</f>
        <v>0</v>
      </c>
      <c r="D65" s="7">
        <f t="shared" ref="D65:G65" si="16">+D63+D64</f>
        <v>0</v>
      </c>
      <c r="E65" s="7">
        <f t="shared" si="16"/>
        <v>0</v>
      </c>
      <c r="F65" s="7">
        <f t="shared" si="16"/>
        <v>0</v>
      </c>
      <c r="G65" s="7">
        <f t="shared" si="16"/>
        <v>0</v>
      </c>
    </row>
    <row r="67" spans="1:7" x14ac:dyDescent="0.25">
      <c r="A67" s="4" t="s">
        <v>153</v>
      </c>
    </row>
    <row r="68" spans="1:7" x14ac:dyDescent="0.25">
      <c r="A68" s="46" t="s">
        <v>120</v>
      </c>
      <c r="B68" s="47">
        <v>0</v>
      </c>
      <c r="C68" s="34">
        <v>1</v>
      </c>
      <c r="D68" s="34">
        <v>2</v>
      </c>
      <c r="E68" s="34">
        <v>3</v>
      </c>
      <c r="F68" s="34">
        <v>4</v>
      </c>
      <c r="G68" s="34">
        <v>5</v>
      </c>
    </row>
    <row r="69" spans="1:7" x14ac:dyDescent="0.25">
      <c r="A69" s="46" t="s">
        <v>121</v>
      </c>
      <c r="B69" s="47">
        <v>2024</v>
      </c>
      <c r="C69" s="34">
        <v>2025</v>
      </c>
      <c r="D69" s="47">
        <v>2026</v>
      </c>
      <c r="E69" s="34">
        <v>2027</v>
      </c>
      <c r="F69" s="47">
        <v>2028</v>
      </c>
      <c r="G69" s="34">
        <v>2029</v>
      </c>
    </row>
    <row r="70" spans="1:7" x14ac:dyDescent="0.25">
      <c r="A70" s="7" t="s">
        <v>148</v>
      </c>
      <c r="B70" s="6">
        <v>0</v>
      </c>
      <c r="C70" s="6">
        <f>+B56</f>
        <v>-8935.9176322768799</v>
      </c>
      <c r="D70" s="6">
        <f>+C56</f>
        <v>48895.539926876962</v>
      </c>
      <c r="E70" s="6">
        <f>+D56</f>
        <v>108072.93202378476</v>
      </c>
      <c r="F70" s="6">
        <f>+E56</f>
        <v>168617.58421429328</v>
      </c>
      <c r="G70" s="6">
        <f>+F56</f>
        <v>230550.47776722358</v>
      </c>
    </row>
    <row r="71" spans="1:7" x14ac:dyDescent="0.25">
      <c r="A71" s="7" t="s">
        <v>154</v>
      </c>
      <c r="B71" s="6">
        <f t="shared" ref="B71:G71" si="17">+B65</f>
        <v>-59146.341463414632</v>
      </c>
      <c r="C71" s="6">
        <f t="shared" si="17"/>
        <v>0</v>
      </c>
      <c r="D71" s="6">
        <f t="shared" si="17"/>
        <v>0</v>
      </c>
      <c r="E71" s="6">
        <f t="shared" si="17"/>
        <v>0</v>
      </c>
      <c r="F71" s="6">
        <f t="shared" si="17"/>
        <v>0</v>
      </c>
      <c r="G71" s="6">
        <f t="shared" si="17"/>
        <v>0</v>
      </c>
    </row>
    <row r="72" spans="1:7" x14ac:dyDescent="0.25">
      <c r="A72" s="7" t="s">
        <v>155</v>
      </c>
      <c r="B72" s="6">
        <v>0</v>
      </c>
      <c r="C72" s="6">
        <f>+B52</f>
        <v>1524.3902439024389</v>
      </c>
      <c r="D72" s="6">
        <f>+C52</f>
        <v>1524.3902439024389</v>
      </c>
      <c r="E72" s="6">
        <f>+D52</f>
        <v>1524.3902439024389</v>
      </c>
      <c r="F72" s="6">
        <f>+E52</f>
        <v>1524.3902439024389</v>
      </c>
      <c r="G72" s="6">
        <f>+F52</f>
        <v>1524.3902439024389</v>
      </c>
    </row>
    <row r="73" spans="1:7" x14ac:dyDescent="0.25">
      <c r="A73" s="16" t="s">
        <v>156</v>
      </c>
      <c r="B73" s="17">
        <f>SUM(B70:B72)</f>
        <v>-59146.341463414632</v>
      </c>
      <c r="C73" s="17">
        <f>+SUM(C70:C72)</f>
        <v>-7411.5273883744412</v>
      </c>
      <c r="D73" s="17">
        <f t="shared" ref="D73:G73" si="18">+SUM(D70:D72)</f>
        <v>50419.9301707794</v>
      </c>
      <c r="E73" s="17">
        <f t="shared" si="18"/>
        <v>109597.3222676872</v>
      </c>
      <c r="F73" s="17">
        <f t="shared" si="18"/>
        <v>170141.97445819573</v>
      </c>
      <c r="G73" s="17">
        <f t="shared" si="18"/>
        <v>232074.86801112603</v>
      </c>
    </row>
    <row r="75" spans="1:7" x14ac:dyDescent="0.25">
      <c r="A75" s="4" t="s">
        <v>157</v>
      </c>
      <c r="C75" s="5"/>
    </row>
    <row r="76" spans="1:7" x14ac:dyDescent="0.25">
      <c r="A76" s="7" t="s">
        <v>158</v>
      </c>
      <c r="B76" s="146">
        <v>0.5</v>
      </c>
    </row>
    <row r="77" spans="1:7" x14ac:dyDescent="0.25">
      <c r="A77" s="119" t="s">
        <v>159</v>
      </c>
      <c r="B77" s="120">
        <f>+NPV(B76,C73:G73)+B73</f>
        <v>54964.369545434849</v>
      </c>
    </row>
    <row r="78" spans="1:7" x14ac:dyDescent="0.25">
      <c r="A78" s="145" t="s">
        <v>160</v>
      </c>
      <c r="B78" s="53">
        <f>+IRR(B73:G73)</f>
        <v>0.79640954597849145</v>
      </c>
    </row>
    <row r="79" spans="1:7" x14ac:dyDescent="0.25">
      <c r="A79" s="145" t="s">
        <v>161</v>
      </c>
      <c r="B79" s="147">
        <f>+B73+C73*(1+B76)^(-C68)</f>
        <v>-64087.359722330926</v>
      </c>
    </row>
    <row r="80" spans="1:7" x14ac:dyDescent="0.25">
      <c r="A80" s="60" t="s">
        <v>162</v>
      </c>
      <c r="B80" s="60">
        <v>3</v>
      </c>
    </row>
  </sheetData>
  <mergeCells count="2">
    <mergeCell ref="A9:B9"/>
    <mergeCell ref="A3:B3"/>
  </mergeCells>
  <conditionalFormatting sqref="B79">
    <cfRule type="cellIs" dxfId="1" priority="1" operator="lessThan">
      <formula>0</formula>
    </cfRule>
  </conditionalFormatting>
  <conditionalFormatting sqref="B70:G73">
    <cfRule type="cellIs" dxfId="0" priority="5" operator="lessThan">
      <formula>0</formula>
    </cfRule>
  </conditionalFormatting>
  <hyperlinks>
    <hyperlink ref="R16" r:id="rId1" xr:uid="{76465BDA-7DB3-4636-ADD8-40ED9A1938E2}"/>
  </hyperlinks>
  <pageMargins left="0.25" right="0.25" top="0.75" bottom="0.75" header="0.3" footer="0.3"/>
  <pageSetup fitToWidth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5DD7-180F-43D3-B786-4C0C4F6101DA}">
  <sheetPr>
    <pageSetUpPr fitToPage="1"/>
  </sheetPr>
  <dimension ref="A2:M21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27.140625" bestFit="1" customWidth="1"/>
  </cols>
  <sheetData>
    <row r="2" spans="1:13" x14ac:dyDescent="0.25">
      <c r="A2" s="7" t="s">
        <v>64</v>
      </c>
      <c r="B2" s="159" t="s">
        <v>65</v>
      </c>
      <c r="C2" s="159"/>
      <c r="D2" s="159"/>
      <c r="E2" s="159" t="s">
        <v>66</v>
      </c>
      <c r="F2" s="159"/>
      <c r="G2" s="159"/>
      <c r="H2" s="159" t="s">
        <v>67</v>
      </c>
      <c r="I2" s="159"/>
      <c r="J2" s="159"/>
      <c r="K2" s="159" t="s">
        <v>68</v>
      </c>
      <c r="L2" s="159"/>
      <c r="M2" s="159"/>
    </row>
    <row r="3" spans="1:13" x14ac:dyDescent="0.25">
      <c r="A3" s="143" t="s">
        <v>69</v>
      </c>
      <c r="B3" s="143" t="s">
        <v>70</v>
      </c>
      <c r="C3" s="143" t="s">
        <v>71</v>
      </c>
      <c r="D3" s="143" t="s">
        <v>72</v>
      </c>
      <c r="E3" s="143" t="s">
        <v>73</v>
      </c>
      <c r="F3" s="143" t="s">
        <v>74</v>
      </c>
      <c r="G3" s="143" t="s">
        <v>75</v>
      </c>
      <c r="H3" s="143" t="s">
        <v>76</v>
      </c>
      <c r="I3" s="143" t="s">
        <v>77</v>
      </c>
      <c r="J3" s="143" t="s">
        <v>78</v>
      </c>
      <c r="K3" s="143" t="s">
        <v>79</v>
      </c>
      <c r="L3" s="143" t="s">
        <v>80</v>
      </c>
      <c r="M3" s="143" t="s">
        <v>81</v>
      </c>
    </row>
    <row r="4" spans="1:13" x14ac:dyDescent="0.25">
      <c r="A4" s="161" t="s">
        <v>82</v>
      </c>
      <c r="B4" s="141"/>
      <c r="C4" s="141"/>
      <c r="D4" s="141"/>
      <c r="E4" s="156" t="s">
        <v>83</v>
      </c>
      <c r="F4" s="156"/>
      <c r="G4" s="156"/>
      <c r="H4" s="156"/>
      <c r="I4" s="156"/>
      <c r="J4" s="156"/>
      <c r="K4" s="156"/>
      <c r="L4" s="141"/>
      <c r="M4" s="141"/>
    </row>
    <row r="5" spans="1:13" x14ac:dyDescent="0.25">
      <c r="A5" s="161"/>
      <c r="B5" s="141"/>
      <c r="C5" s="141"/>
      <c r="D5" s="141"/>
      <c r="E5" s="141"/>
      <c r="F5" s="141"/>
      <c r="G5" s="141"/>
      <c r="H5" s="141"/>
      <c r="I5" s="141"/>
      <c r="J5" s="141"/>
      <c r="K5" s="157" t="s">
        <v>84</v>
      </c>
      <c r="L5" s="157"/>
      <c r="M5" s="157"/>
    </row>
    <row r="6" spans="1:13" x14ac:dyDescent="0.25">
      <c r="A6" s="144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</row>
    <row r="7" spans="1:13" ht="15" customHeight="1" x14ac:dyDescent="0.25">
      <c r="A7" s="170" t="s">
        <v>85</v>
      </c>
      <c r="B7" s="141"/>
      <c r="C7" s="141"/>
      <c r="D7" s="141"/>
      <c r="E7" s="162" t="s">
        <v>86</v>
      </c>
      <c r="F7" s="141"/>
      <c r="G7" s="141"/>
      <c r="H7" s="157" t="s">
        <v>87</v>
      </c>
      <c r="I7" s="157"/>
      <c r="J7" s="157"/>
      <c r="K7" s="157"/>
      <c r="L7" s="157"/>
      <c r="M7" s="157"/>
    </row>
    <row r="8" spans="1:13" x14ac:dyDescent="0.25">
      <c r="A8" s="170"/>
      <c r="B8" s="141"/>
      <c r="C8" s="141"/>
      <c r="D8" s="141"/>
      <c r="E8" s="162"/>
      <c r="F8" s="141"/>
      <c r="G8" s="141"/>
      <c r="H8" s="141"/>
      <c r="I8" s="141"/>
      <c r="J8" s="141"/>
      <c r="K8" s="158" t="s">
        <v>88</v>
      </c>
      <c r="L8" s="158"/>
      <c r="M8" s="158"/>
    </row>
    <row r="9" spans="1:13" x14ac:dyDescent="0.25">
      <c r="A9" s="144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</row>
    <row r="10" spans="1:13" x14ac:dyDescent="0.25">
      <c r="A10" s="161" t="s">
        <v>89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57" t="s">
        <v>90</v>
      </c>
      <c r="L10" s="157"/>
      <c r="M10" s="157"/>
    </row>
    <row r="11" spans="1:13" x14ac:dyDescent="0.25">
      <c r="A11" s="161"/>
      <c r="B11" s="141"/>
      <c r="C11" s="141"/>
      <c r="D11" s="141"/>
      <c r="E11" s="141"/>
      <c r="F11" s="141"/>
      <c r="G11" s="141"/>
      <c r="H11" s="141"/>
      <c r="I11" s="141"/>
      <c r="J11" s="141"/>
      <c r="K11" s="160" t="s">
        <v>91</v>
      </c>
      <c r="L11" s="160"/>
      <c r="M11" s="160"/>
    </row>
    <row r="12" spans="1:13" x14ac:dyDescent="0.25">
      <c r="A12" s="161"/>
      <c r="B12" s="141"/>
      <c r="C12" s="141"/>
      <c r="D12" s="141"/>
      <c r="E12" s="141"/>
      <c r="F12" s="141"/>
      <c r="G12" s="141"/>
      <c r="H12" s="141"/>
      <c r="I12" s="141"/>
      <c r="J12" s="141"/>
      <c r="K12" s="156" t="s">
        <v>92</v>
      </c>
      <c r="L12" s="156"/>
      <c r="M12" s="156"/>
    </row>
    <row r="13" spans="1:13" x14ac:dyDescent="0.25">
      <c r="A13" s="144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</row>
    <row r="14" spans="1:13" x14ac:dyDescent="0.25">
      <c r="A14" s="163" t="s">
        <v>93</v>
      </c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 t="s">
        <v>94</v>
      </c>
    </row>
    <row r="15" spans="1:13" x14ac:dyDescent="0.25">
      <c r="A15" s="163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1:13" x14ac:dyDescent="0.25">
      <c r="A16" s="144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 x14ac:dyDescent="0.25">
      <c r="A17" s="161" t="s">
        <v>95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 t="s">
        <v>94</v>
      </c>
    </row>
    <row r="18" spans="1:13" x14ac:dyDescent="0.25">
      <c r="A18" s="16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</row>
    <row r="19" spans="1:13" x14ac:dyDescent="0.25">
      <c r="A19" s="144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</row>
    <row r="20" spans="1:13" x14ac:dyDescent="0.25">
      <c r="A20" s="163" t="s">
        <v>96</v>
      </c>
      <c r="B20" s="164" t="s">
        <v>97</v>
      </c>
      <c r="C20" s="165"/>
      <c r="D20" s="166"/>
      <c r="E20" s="141"/>
      <c r="F20" s="141"/>
      <c r="G20" s="141"/>
      <c r="H20" s="141"/>
      <c r="I20" s="141"/>
      <c r="J20" s="141"/>
      <c r="K20" s="141"/>
      <c r="L20" s="141"/>
      <c r="M20" s="141"/>
    </row>
    <row r="21" spans="1:13" x14ac:dyDescent="0.25">
      <c r="A21" s="163"/>
      <c r="B21" s="167" t="s">
        <v>98</v>
      </c>
      <c r="C21" s="168"/>
      <c r="D21" s="169"/>
      <c r="E21" s="141"/>
      <c r="F21" s="141"/>
      <c r="G21" s="141"/>
      <c r="H21" s="141"/>
      <c r="I21" s="141"/>
      <c r="J21" s="141"/>
      <c r="K21" s="141"/>
      <c r="L21" s="141"/>
      <c r="M21" s="141"/>
    </row>
  </sheetData>
  <mergeCells count="20">
    <mergeCell ref="A20:A21"/>
    <mergeCell ref="B20:D20"/>
    <mergeCell ref="B21:D21"/>
    <mergeCell ref="A7:A8"/>
    <mergeCell ref="A10:A12"/>
    <mergeCell ref="A14:A15"/>
    <mergeCell ref="A17:A18"/>
    <mergeCell ref="A4:A5"/>
    <mergeCell ref="E7:E8"/>
    <mergeCell ref="B2:D2"/>
    <mergeCell ref="E2:G2"/>
    <mergeCell ref="H2:J2"/>
    <mergeCell ref="K12:M12"/>
    <mergeCell ref="H7:M7"/>
    <mergeCell ref="K8:M8"/>
    <mergeCell ref="K2:M2"/>
    <mergeCell ref="K5:M5"/>
    <mergeCell ref="E4:K4"/>
    <mergeCell ref="K10:M10"/>
    <mergeCell ref="K11:M11"/>
  </mergeCells>
  <phoneticPr fontId="7" type="noConversion"/>
  <pageMargins left="0.25" right="0.25" top="0.75" bottom="0.75" header="0.3" footer="0.3"/>
  <pageSetup scale="8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96C6-8131-491C-AF5D-A05C71FEC634}">
  <sheetPr>
    <pageSetUpPr fitToPage="1"/>
  </sheetPr>
  <dimension ref="A2:J28"/>
  <sheetViews>
    <sheetView zoomScale="80" zoomScaleNormal="80" workbookViewId="0">
      <selection activeCell="K6" sqref="K6"/>
    </sheetView>
  </sheetViews>
  <sheetFormatPr baseColWidth="10" defaultColWidth="11.42578125" defaultRowHeight="15" x14ac:dyDescent="0.25"/>
  <cols>
    <col min="1" max="1" width="27.140625" bestFit="1" customWidth="1"/>
    <col min="2" max="2" width="39.7109375" bestFit="1" customWidth="1"/>
    <col min="3" max="10" width="6.42578125" customWidth="1"/>
  </cols>
  <sheetData>
    <row r="2" spans="1:10" x14ac:dyDescent="0.25">
      <c r="A2" s="182" t="s">
        <v>163</v>
      </c>
      <c r="B2" s="183"/>
      <c r="C2" s="159" t="s">
        <v>164</v>
      </c>
      <c r="D2" s="159"/>
      <c r="E2" s="159"/>
      <c r="F2" s="159"/>
      <c r="G2" s="159"/>
      <c r="H2" s="159"/>
      <c r="I2" s="159"/>
      <c r="J2" s="159"/>
    </row>
    <row r="3" spans="1:10" x14ac:dyDescent="0.25">
      <c r="A3" s="181" t="s">
        <v>69</v>
      </c>
      <c r="B3" s="181"/>
      <c r="C3" s="140">
        <v>1</v>
      </c>
      <c r="D3" s="140">
        <v>2</v>
      </c>
      <c r="E3" s="140">
        <v>3</v>
      </c>
      <c r="F3" s="140">
        <v>4</v>
      </c>
      <c r="G3" s="140">
        <v>5</v>
      </c>
      <c r="H3" s="140">
        <v>6</v>
      </c>
      <c r="I3" s="140">
        <v>7</v>
      </c>
      <c r="J3" s="140">
        <v>8</v>
      </c>
    </row>
    <row r="4" spans="1:10" x14ac:dyDescent="0.25">
      <c r="A4" s="175" t="s">
        <v>165</v>
      </c>
      <c r="B4" s="137" t="s">
        <v>166</v>
      </c>
      <c r="C4" s="50"/>
      <c r="D4" s="7"/>
      <c r="E4" s="7"/>
      <c r="F4" s="7"/>
      <c r="G4" s="7"/>
      <c r="H4" s="7"/>
      <c r="I4" s="7"/>
      <c r="J4" s="7"/>
    </row>
    <row r="5" spans="1:10" x14ac:dyDescent="0.25">
      <c r="A5" s="175"/>
      <c r="B5" s="137" t="s">
        <v>167</v>
      </c>
      <c r="C5" s="50"/>
      <c r="D5" s="7"/>
      <c r="E5" s="7"/>
      <c r="F5" s="7"/>
      <c r="G5" s="7"/>
      <c r="H5" s="7"/>
      <c r="I5" s="7"/>
      <c r="J5" s="7"/>
    </row>
    <row r="6" spans="1:10" x14ac:dyDescent="0.25">
      <c r="A6" s="175"/>
      <c r="B6" s="137" t="s">
        <v>168</v>
      </c>
      <c r="C6" s="50"/>
      <c r="D6" s="7"/>
      <c r="E6" s="7"/>
      <c r="F6" s="7"/>
      <c r="G6" s="7"/>
      <c r="H6" s="7"/>
      <c r="I6" s="7"/>
      <c r="J6" s="7"/>
    </row>
    <row r="7" spans="1:10" x14ac:dyDescent="0.25">
      <c r="A7" s="176"/>
      <c r="B7" s="137" t="s">
        <v>169</v>
      </c>
      <c r="C7" s="50"/>
      <c r="D7" s="7"/>
      <c r="E7" s="7"/>
      <c r="F7" s="7"/>
      <c r="G7" s="7"/>
      <c r="H7" s="7"/>
      <c r="I7" s="7"/>
      <c r="J7" s="7"/>
    </row>
    <row r="8" spans="1:10" x14ac:dyDescent="0.25">
      <c r="A8" s="178" t="s">
        <v>170</v>
      </c>
      <c r="B8" s="138" t="s">
        <v>171</v>
      </c>
      <c r="C8" s="50"/>
      <c r="D8" s="7"/>
      <c r="E8" s="7"/>
      <c r="F8" s="7"/>
      <c r="G8" s="7"/>
      <c r="H8" s="7"/>
      <c r="I8" s="7"/>
      <c r="J8" s="7"/>
    </row>
    <row r="9" spans="1:10" x14ac:dyDescent="0.25">
      <c r="A9" s="178"/>
      <c r="B9" s="138" t="s">
        <v>172</v>
      </c>
      <c r="C9" s="50"/>
      <c r="D9" s="7"/>
      <c r="E9" s="7"/>
      <c r="F9" s="7"/>
      <c r="G9" s="7"/>
      <c r="H9" s="7"/>
      <c r="I9" s="7"/>
      <c r="J9" s="7"/>
    </row>
    <row r="10" spans="1:10" x14ac:dyDescent="0.25">
      <c r="A10" s="178"/>
      <c r="B10" s="138" t="s">
        <v>173</v>
      </c>
      <c r="C10" s="50"/>
      <c r="D10" s="50"/>
      <c r="E10" s="50"/>
      <c r="F10" s="7"/>
      <c r="G10" s="7"/>
      <c r="H10" s="7"/>
      <c r="I10" s="7"/>
      <c r="J10" s="7"/>
    </row>
    <row r="11" spans="1:10" x14ac:dyDescent="0.25">
      <c r="A11" s="178"/>
      <c r="B11" s="138" t="s">
        <v>174</v>
      </c>
      <c r="C11" s="7"/>
      <c r="D11" s="50"/>
      <c r="E11" s="50"/>
      <c r="F11" s="50"/>
      <c r="G11" s="50"/>
      <c r="H11" s="7"/>
      <c r="I11" s="7"/>
      <c r="J11" s="7"/>
    </row>
    <row r="12" spans="1:10" x14ac:dyDescent="0.25">
      <c r="A12" s="179"/>
      <c r="B12" s="138" t="s">
        <v>175</v>
      </c>
      <c r="C12" s="7"/>
      <c r="D12" s="7"/>
      <c r="E12" s="7"/>
      <c r="F12" s="7"/>
      <c r="G12" s="7"/>
      <c r="H12" s="7"/>
      <c r="I12" s="7"/>
      <c r="J12" s="50" t="s">
        <v>176</v>
      </c>
    </row>
    <row r="13" spans="1:10" x14ac:dyDescent="0.25">
      <c r="A13" s="180" t="s">
        <v>177</v>
      </c>
      <c r="B13" s="137" t="s">
        <v>178</v>
      </c>
      <c r="C13" s="7"/>
      <c r="D13" s="50"/>
      <c r="E13" s="7"/>
      <c r="F13" s="7"/>
      <c r="G13" s="7"/>
      <c r="H13" s="7"/>
      <c r="I13" s="7"/>
      <c r="J13" s="7"/>
    </row>
    <row r="14" spans="1:10" x14ac:dyDescent="0.25">
      <c r="A14" s="175"/>
      <c r="B14" s="137" t="s">
        <v>179</v>
      </c>
      <c r="C14" s="7"/>
      <c r="D14" s="7"/>
      <c r="E14" s="50"/>
      <c r="F14" s="7"/>
      <c r="G14" s="7"/>
      <c r="H14" s="7"/>
      <c r="I14" s="7"/>
      <c r="J14" s="7"/>
    </row>
    <row r="15" spans="1:10" x14ac:dyDescent="0.25">
      <c r="A15" s="175"/>
      <c r="B15" s="137" t="s">
        <v>180</v>
      </c>
      <c r="C15" s="7"/>
      <c r="D15" s="7"/>
      <c r="E15" s="50"/>
      <c r="F15" s="7"/>
      <c r="G15" s="7"/>
      <c r="H15" s="7"/>
      <c r="I15" s="7"/>
      <c r="J15" s="7"/>
    </row>
    <row r="16" spans="1:10" x14ac:dyDescent="0.25">
      <c r="A16" s="176"/>
      <c r="B16" s="137" t="s">
        <v>181</v>
      </c>
      <c r="C16" s="7"/>
      <c r="D16" s="50"/>
      <c r="E16" s="7"/>
      <c r="F16" s="7"/>
      <c r="G16" s="7"/>
      <c r="H16" s="7"/>
      <c r="I16" s="7"/>
      <c r="J16" s="7"/>
    </row>
    <row r="17" spans="1:10" x14ac:dyDescent="0.25">
      <c r="A17" s="177" t="s">
        <v>182</v>
      </c>
      <c r="B17" s="138" t="s">
        <v>183</v>
      </c>
      <c r="C17" s="7"/>
      <c r="D17" s="50"/>
      <c r="E17" s="7"/>
      <c r="G17" s="7"/>
      <c r="H17" s="7"/>
      <c r="I17" s="7"/>
      <c r="J17" s="7"/>
    </row>
    <row r="18" spans="1:10" x14ac:dyDescent="0.25">
      <c r="A18" s="178"/>
      <c r="B18" s="138" t="s">
        <v>184</v>
      </c>
      <c r="C18" s="7"/>
      <c r="D18" s="7"/>
      <c r="E18" s="7"/>
      <c r="F18" s="50"/>
      <c r="G18" s="7"/>
      <c r="H18" s="7"/>
      <c r="I18" s="7"/>
      <c r="J18" s="7"/>
    </row>
    <row r="19" spans="1:10" x14ac:dyDescent="0.25">
      <c r="A19" s="178"/>
      <c r="B19" s="138" t="s">
        <v>91</v>
      </c>
      <c r="C19" s="7"/>
      <c r="D19" s="7"/>
      <c r="E19" s="7"/>
      <c r="F19" s="50"/>
      <c r="H19" s="7"/>
      <c r="I19" s="7"/>
      <c r="J19" s="7"/>
    </row>
    <row r="20" spans="1:10" x14ac:dyDescent="0.25">
      <c r="A20" s="178"/>
      <c r="B20" s="139" t="s">
        <v>92</v>
      </c>
      <c r="C20" s="7"/>
      <c r="D20" s="7"/>
      <c r="E20" s="7"/>
      <c r="F20" s="50"/>
      <c r="G20" s="7"/>
      <c r="H20" s="7"/>
      <c r="I20" s="7"/>
      <c r="J20" s="7"/>
    </row>
    <row r="21" spans="1:10" x14ac:dyDescent="0.25">
      <c r="A21" s="178"/>
      <c r="B21" s="138" t="s">
        <v>185</v>
      </c>
      <c r="C21" s="7"/>
      <c r="D21" s="7"/>
      <c r="E21" s="50"/>
      <c r="F21" s="7"/>
      <c r="G21" s="7"/>
      <c r="H21" s="7"/>
      <c r="I21" s="7"/>
      <c r="J21" s="7"/>
    </row>
    <row r="22" spans="1:10" x14ac:dyDescent="0.25">
      <c r="A22" s="178"/>
      <c r="B22" s="138" t="s">
        <v>186</v>
      </c>
      <c r="C22" s="7"/>
      <c r="D22" s="7"/>
      <c r="E22" s="50"/>
      <c r="F22" s="7"/>
      <c r="G22" s="7"/>
      <c r="H22" s="7"/>
      <c r="I22" s="7"/>
      <c r="J22" s="7"/>
    </row>
    <row r="23" spans="1:10" x14ac:dyDescent="0.25">
      <c r="A23" s="178"/>
      <c r="B23" s="138" t="s">
        <v>187</v>
      </c>
      <c r="C23" s="7"/>
      <c r="D23" s="7"/>
      <c r="E23" s="7"/>
      <c r="F23" s="50"/>
      <c r="G23" s="50"/>
      <c r="H23" s="50"/>
      <c r="I23" s="50"/>
      <c r="J23" s="7"/>
    </row>
    <row r="24" spans="1:10" x14ac:dyDescent="0.25">
      <c r="A24" s="178"/>
      <c r="B24" s="138" t="s">
        <v>188</v>
      </c>
      <c r="C24" s="7"/>
      <c r="D24" s="7"/>
      <c r="E24" s="7"/>
      <c r="F24" s="7"/>
      <c r="G24" s="7"/>
      <c r="H24" s="7"/>
      <c r="I24" s="50"/>
      <c r="J24" s="7"/>
    </row>
    <row r="25" spans="1:10" x14ac:dyDescent="0.25">
      <c r="A25" s="179"/>
      <c r="B25" s="138" t="s">
        <v>189</v>
      </c>
      <c r="C25" s="7"/>
      <c r="D25" s="7"/>
      <c r="E25" s="7"/>
      <c r="F25" s="7"/>
      <c r="G25" s="7"/>
      <c r="H25" s="7"/>
      <c r="I25" s="50"/>
      <c r="J25" s="7"/>
    </row>
    <row r="26" spans="1:10" x14ac:dyDescent="0.25">
      <c r="A26" s="175" t="s">
        <v>190</v>
      </c>
      <c r="B26" s="137" t="s">
        <v>191</v>
      </c>
      <c r="C26" s="7"/>
      <c r="D26" s="7"/>
      <c r="E26" s="7"/>
      <c r="F26" s="7"/>
      <c r="G26" s="7"/>
      <c r="H26" s="7"/>
      <c r="I26" s="50"/>
      <c r="J26" s="7"/>
    </row>
    <row r="27" spans="1:10" x14ac:dyDescent="0.25">
      <c r="A27" s="175"/>
      <c r="B27" s="137" t="s">
        <v>192</v>
      </c>
      <c r="C27" s="7"/>
      <c r="D27" s="7"/>
      <c r="E27" s="7"/>
      <c r="F27" s="7"/>
      <c r="G27" s="7"/>
      <c r="H27" s="7"/>
      <c r="I27" s="50"/>
      <c r="J27" s="7"/>
    </row>
    <row r="28" spans="1:10" x14ac:dyDescent="0.25">
      <c r="A28" s="176"/>
      <c r="B28" s="137" t="s">
        <v>193</v>
      </c>
      <c r="C28" s="7"/>
      <c r="D28" s="7"/>
      <c r="E28" s="7"/>
      <c r="F28" s="7"/>
      <c r="G28" s="7"/>
      <c r="H28" s="7"/>
      <c r="I28" s="50"/>
      <c r="J28" s="7"/>
    </row>
  </sheetData>
  <mergeCells count="8">
    <mergeCell ref="A26:A28"/>
    <mergeCell ref="A17:A25"/>
    <mergeCell ref="A13:A16"/>
    <mergeCell ref="A3:B3"/>
    <mergeCell ref="C2:J2"/>
    <mergeCell ref="A4:A7"/>
    <mergeCell ref="A8:A12"/>
    <mergeCell ref="A2:B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Links </vt:lpstr>
      <vt:lpstr>Evidencias</vt:lpstr>
      <vt:lpstr>Lista de costos</vt:lpstr>
      <vt:lpstr>Inversiones</vt:lpstr>
      <vt:lpstr>Economics </vt:lpstr>
      <vt:lpstr>Roadmap</vt:lpstr>
      <vt:lpstr>Plan de lanzamiento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Octavio Santalucia</dc:creator>
  <cp:keywords/>
  <dc:description/>
  <cp:lastModifiedBy>Octavio Santalucia</cp:lastModifiedBy>
  <cp:revision/>
  <dcterms:created xsi:type="dcterms:W3CDTF">2015-06-05T18:17:20Z</dcterms:created>
  <dcterms:modified xsi:type="dcterms:W3CDTF">2023-06-13T02:38:48Z</dcterms:modified>
  <cp:category/>
  <cp:contentStatus/>
</cp:coreProperties>
</file>